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workbookProtection workbookPassword="CC3D" lockStructure="1"/>
  <bookViews>
    <workbookView xWindow="0" yWindow="0" windowWidth="15600" windowHeight="8445" tabRatio="521"/>
  </bookViews>
  <sheets>
    <sheet name="BD EMPLEADOS" sheetId="7" r:id="rId1"/>
    <sheet name="Nómina" sheetId="1" r:id="rId2"/>
    <sheet name="COLILLA DE PAGO" sheetId="6" r:id="rId3"/>
  </sheets>
  <definedNames>
    <definedName name="BDEMPLEADOS">'BD EMPLEADOS'!$1:$1048576</definedName>
    <definedName name="NOMINA">Nómina!$1:$1048576</definedName>
    <definedName name="Nómina">Nómina!$1:$1048576</definedName>
  </definedNames>
  <calcPr calcId="145621"/>
</workbook>
</file>

<file path=xl/calcChain.xml><?xml version="1.0" encoding="utf-8"?>
<calcChain xmlns="http://schemas.openxmlformats.org/spreadsheetml/2006/main">
  <c r="D13" i="6" l="1"/>
  <c r="D12" i="6"/>
  <c r="B12" i="6"/>
  <c r="B11" i="6"/>
  <c r="B9" i="6"/>
  <c r="E50" i="1"/>
  <c r="R15" i="1"/>
  <c r="R23" i="1"/>
  <c r="R25" i="1"/>
  <c r="B13" i="6" s="1"/>
  <c r="R27" i="1"/>
  <c r="R29" i="1"/>
  <c r="R31" i="1"/>
  <c r="R33" i="1"/>
  <c r="R35" i="1"/>
  <c r="R37" i="1"/>
  <c r="R39" i="1"/>
  <c r="R41" i="1"/>
  <c r="R1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3" i="1"/>
  <c r="Q14" i="1"/>
  <c r="X16" i="1"/>
  <c r="X23" i="1"/>
  <c r="X24" i="1"/>
  <c r="X25" i="1"/>
  <c r="X27" i="1"/>
  <c r="X29" i="1"/>
  <c r="X31" i="1"/>
  <c r="X33" i="1"/>
  <c r="X35" i="1"/>
  <c r="X37" i="1"/>
  <c r="X39" i="1"/>
  <c r="X41" i="1"/>
  <c r="X13" i="1"/>
  <c r="W23" i="1"/>
  <c r="W27" i="1"/>
  <c r="W31" i="1"/>
  <c r="W35" i="1"/>
  <c r="W39" i="1"/>
  <c r="W16" i="1"/>
  <c r="P26" i="1"/>
  <c r="P42" i="1"/>
  <c r="P18" i="1"/>
  <c r="P13" i="1"/>
  <c r="F14" i="1"/>
  <c r="F15" i="1"/>
  <c r="F16" i="1"/>
  <c r="R16" i="1" s="1"/>
  <c r="F17" i="1"/>
  <c r="F18" i="1"/>
  <c r="F19" i="1"/>
  <c r="F20" i="1"/>
  <c r="F21" i="1"/>
  <c r="F22" i="1"/>
  <c r="F23" i="1"/>
  <c r="P23" i="1"/>
  <c r="F24" i="1"/>
  <c r="R24" i="1" s="1"/>
  <c r="P24" i="1"/>
  <c r="F25" i="1"/>
  <c r="F26" i="1"/>
  <c r="F27" i="1"/>
  <c r="P27" i="1"/>
  <c r="F28" i="1"/>
  <c r="R28" i="1" s="1"/>
  <c r="P28" i="1"/>
  <c r="F29" i="1"/>
  <c r="F30" i="1"/>
  <c r="F31" i="1"/>
  <c r="P31" i="1"/>
  <c r="F32" i="1"/>
  <c r="R32" i="1" s="1"/>
  <c r="P32" i="1"/>
  <c r="F33" i="1"/>
  <c r="F34" i="1"/>
  <c r="P34" i="1" s="1"/>
  <c r="F35" i="1"/>
  <c r="P35" i="1"/>
  <c r="F36" i="1"/>
  <c r="R36" i="1" s="1"/>
  <c r="P36" i="1"/>
  <c r="F37" i="1"/>
  <c r="F38" i="1"/>
  <c r="F39" i="1"/>
  <c r="P39" i="1"/>
  <c r="F40" i="1"/>
  <c r="R40" i="1" s="1"/>
  <c r="P40" i="1"/>
  <c r="F41" i="1"/>
  <c r="F42" i="1"/>
  <c r="F13" i="1"/>
  <c r="E14" i="1"/>
  <c r="E15" i="1"/>
  <c r="E16" i="1"/>
  <c r="E18" i="1"/>
  <c r="E19" i="1"/>
  <c r="E20" i="1"/>
  <c r="E22" i="1"/>
  <c r="E23" i="1"/>
  <c r="E24" i="1"/>
  <c r="E26" i="1"/>
  <c r="E27" i="1"/>
  <c r="E28" i="1"/>
  <c r="E30" i="1"/>
  <c r="E31" i="1"/>
  <c r="E32" i="1"/>
  <c r="E34" i="1"/>
  <c r="E35" i="1"/>
  <c r="E36" i="1"/>
  <c r="E38" i="1"/>
  <c r="E39" i="1"/>
  <c r="E40" i="1"/>
  <c r="E42" i="1"/>
  <c r="C14" i="1"/>
  <c r="G14" i="1" s="1"/>
  <c r="K14" i="1"/>
  <c r="C15" i="1"/>
  <c r="C16" i="1"/>
  <c r="C17" i="1"/>
  <c r="C18" i="1"/>
  <c r="C19" i="1"/>
  <c r="C20" i="1"/>
  <c r="C21" i="1"/>
  <c r="C22" i="1"/>
  <c r="C23" i="1"/>
  <c r="C24" i="1"/>
  <c r="J24" i="1" s="1"/>
  <c r="N24" i="1"/>
  <c r="C25" i="1"/>
  <c r="C26" i="1"/>
  <c r="C27" i="1"/>
  <c r="C28" i="1"/>
  <c r="C29" i="1"/>
  <c r="C30" i="1"/>
  <c r="G30" i="1" s="1"/>
  <c r="K30" i="1"/>
  <c r="C31" i="1"/>
  <c r="C32" i="1"/>
  <c r="C33" i="1"/>
  <c r="C34" i="1"/>
  <c r="C35" i="1"/>
  <c r="G35" i="1"/>
  <c r="K35" i="1" s="1"/>
  <c r="C36" i="1"/>
  <c r="C37" i="1"/>
  <c r="G37" i="1"/>
  <c r="K37" i="1" s="1"/>
  <c r="C38" i="1"/>
  <c r="C39" i="1"/>
  <c r="G39" i="1"/>
  <c r="K39" i="1" s="1"/>
  <c r="C40" i="1"/>
  <c r="C41" i="1"/>
  <c r="G41" i="1"/>
  <c r="K41" i="1" s="1"/>
  <c r="C42" i="1"/>
  <c r="C13" i="1"/>
  <c r="G13" i="1"/>
  <c r="K13" i="1" s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13" i="1"/>
  <c r="B7" i="6" s="1"/>
  <c r="C7" i="6" s="1"/>
  <c r="D7" i="6" s="1"/>
  <c r="E4" i="7"/>
  <c r="E13" i="1"/>
  <c r="E5" i="7"/>
  <c r="E6" i="7"/>
  <c r="E7" i="7"/>
  <c r="E8" i="7"/>
  <c r="E17" i="1"/>
  <c r="E9" i="7"/>
  <c r="E10" i="7"/>
  <c r="E11" i="7"/>
  <c r="E12" i="7"/>
  <c r="E21" i="1"/>
  <c r="E13" i="7"/>
  <c r="E14" i="7"/>
  <c r="E15" i="7"/>
  <c r="E16" i="7"/>
  <c r="E25" i="1"/>
  <c r="E17" i="7"/>
  <c r="E18" i="7"/>
  <c r="E19" i="7"/>
  <c r="E20" i="7"/>
  <c r="E29" i="1"/>
  <c r="E21" i="7"/>
  <c r="E22" i="7"/>
  <c r="E23" i="7"/>
  <c r="E24" i="7"/>
  <c r="E33" i="1"/>
  <c r="E25" i="7"/>
  <c r="E26" i="7"/>
  <c r="E27" i="7"/>
  <c r="E28" i="7"/>
  <c r="E37" i="1"/>
  <c r="E29" i="7"/>
  <c r="E30" i="7"/>
  <c r="E31" i="7"/>
  <c r="E32" i="7"/>
  <c r="E41" i="1"/>
  <c r="E33" i="7"/>
  <c r="C43" i="1"/>
  <c r="E43" i="1"/>
  <c r="F43" i="1"/>
  <c r="P14" i="1"/>
  <c r="P41" i="1"/>
  <c r="P37" i="1"/>
  <c r="P33" i="1"/>
  <c r="P29" i="1"/>
  <c r="P25" i="1"/>
  <c r="W14" i="1"/>
  <c r="W41" i="1"/>
  <c r="W37" i="1"/>
  <c r="W33" i="1"/>
  <c r="W29" i="1"/>
  <c r="W25" i="1"/>
  <c r="W17" i="1"/>
  <c r="G24" i="1"/>
  <c r="K24" i="1" s="1"/>
  <c r="W40" i="1"/>
  <c r="W36" i="1"/>
  <c r="W32" i="1"/>
  <c r="W28" i="1"/>
  <c r="W24" i="1"/>
  <c r="W20" i="1"/>
  <c r="J29" i="1"/>
  <c r="N29" i="1" s="1"/>
  <c r="H29" i="1"/>
  <c r="L29" i="1" s="1"/>
  <c r="I29" i="1"/>
  <c r="M29" i="1" s="1"/>
  <c r="G29" i="1"/>
  <c r="K29" i="1"/>
  <c r="I21" i="1"/>
  <c r="M21" i="1" s="1"/>
  <c r="H21" i="1"/>
  <c r="L21" i="1" s="1"/>
  <c r="O21" i="1" s="1"/>
  <c r="U21" i="1" s="1"/>
  <c r="J21" i="1"/>
  <c r="N21" i="1" s="1"/>
  <c r="G21" i="1"/>
  <c r="K21" i="1"/>
  <c r="J42" i="1"/>
  <c r="N42" i="1" s="1"/>
  <c r="H42" i="1"/>
  <c r="L42" i="1" s="1"/>
  <c r="J40" i="1"/>
  <c r="N40" i="1" s="1"/>
  <c r="I36" i="1"/>
  <c r="M36" i="1" s="1"/>
  <c r="J31" i="1"/>
  <c r="N31" i="1" s="1"/>
  <c r="I31" i="1"/>
  <c r="M31" i="1" s="1"/>
  <c r="H31" i="1"/>
  <c r="L31" i="1" s="1"/>
  <c r="G31" i="1"/>
  <c r="K31" i="1"/>
  <c r="O31" i="1" s="1"/>
  <c r="J23" i="1"/>
  <c r="N23" i="1" s="1"/>
  <c r="I23" i="1"/>
  <c r="M23" i="1" s="1"/>
  <c r="H23" i="1"/>
  <c r="L23" i="1" s="1"/>
  <c r="G23" i="1"/>
  <c r="K23" i="1" s="1"/>
  <c r="H33" i="1"/>
  <c r="L33" i="1"/>
  <c r="J33" i="1"/>
  <c r="N33" i="1" s="1"/>
  <c r="I33" i="1"/>
  <c r="M33" i="1"/>
  <c r="G33" i="1"/>
  <c r="K33" i="1" s="1"/>
  <c r="I25" i="1"/>
  <c r="M25" i="1"/>
  <c r="J25" i="1"/>
  <c r="N25" i="1" s="1"/>
  <c r="H25" i="1"/>
  <c r="L25" i="1"/>
  <c r="G25" i="1"/>
  <c r="K25" i="1" s="1"/>
  <c r="I17" i="1"/>
  <c r="M17" i="1"/>
  <c r="H17" i="1"/>
  <c r="L17" i="1"/>
  <c r="J17" i="1"/>
  <c r="N17" i="1"/>
  <c r="G17" i="1"/>
  <c r="K17" i="1"/>
  <c r="H32" i="1"/>
  <c r="L32" i="1" s="1"/>
  <c r="J32" i="1"/>
  <c r="N32" i="1" s="1"/>
  <c r="I32" i="1"/>
  <c r="M32" i="1" s="1"/>
  <c r="J13" i="1"/>
  <c r="N13" i="1" s="1"/>
  <c r="I13" i="1"/>
  <c r="M13" i="1" s="1"/>
  <c r="H13" i="1"/>
  <c r="L13" i="1" s="1"/>
  <c r="O13" i="1" s="1"/>
  <c r="J41" i="1"/>
  <c r="N41" i="1" s="1"/>
  <c r="H41" i="1"/>
  <c r="L41" i="1" s="1"/>
  <c r="I41" i="1"/>
  <c r="M41" i="1"/>
  <c r="J39" i="1"/>
  <c r="N39" i="1" s="1"/>
  <c r="I39" i="1"/>
  <c r="M39" i="1"/>
  <c r="H39" i="1"/>
  <c r="L39" i="1" s="1"/>
  <c r="O39" i="1" s="1"/>
  <c r="H37" i="1"/>
  <c r="L37" i="1"/>
  <c r="J37" i="1"/>
  <c r="N37" i="1"/>
  <c r="I37" i="1"/>
  <c r="M37" i="1"/>
  <c r="J35" i="1"/>
  <c r="N35" i="1" s="1"/>
  <c r="I35" i="1"/>
  <c r="M35" i="1" s="1"/>
  <c r="H35" i="1"/>
  <c r="L35" i="1" s="1"/>
  <c r="O35" i="1" s="1"/>
  <c r="S35" i="1" s="1"/>
  <c r="G32" i="1"/>
  <c r="K32" i="1" s="1"/>
  <c r="I30" i="1"/>
  <c r="M30" i="1" s="1"/>
  <c r="J30" i="1"/>
  <c r="N30" i="1" s="1"/>
  <c r="H30" i="1"/>
  <c r="L30" i="1" s="1"/>
  <c r="O30" i="1" s="1"/>
  <c r="U30" i="1" s="1"/>
  <c r="J27" i="1"/>
  <c r="N27" i="1" s="1"/>
  <c r="I27" i="1"/>
  <c r="M27" i="1" s="1"/>
  <c r="H27" i="1"/>
  <c r="L27" i="1" s="1"/>
  <c r="G27" i="1"/>
  <c r="K27" i="1" s="1"/>
  <c r="O27" i="1" s="1"/>
  <c r="J19" i="1"/>
  <c r="N19" i="1" s="1"/>
  <c r="I19" i="1"/>
  <c r="M19" i="1" s="1"/>
  <c r="H19" i="1"/>
  <c r="L19" i="1" s="1"/>
  <c r="G19" i="1"/>
  <c r="K19" i="1" s="1"/>
  <c r="O19" i="1" s="1"/>
  <c r="U19" i="1" s="1"/>
  <c r="J15" i="1"/>
  <c r="N15" i="1" s="1"/>
  <c r="I15" i="1"/>
  <c r="M15" i="1" s="1"/>
  <c r="H15" i="1"/>
  <c r="L15" i="1" s="1"/>
  <c r="G15" i="1"/>
  <c r="K15" i="1" s="1"/>
  <c r="O15" i="1" s="1"/>
  <c r="I24" i="1"/>
  <c r="M24" i="1" s="1"/>
  <c r="J22" i="1"/>
  <c r="N22" i="1" s="1"/>
  <c r="H26" i="1"/>
  <c r="L26" i="1" s="1"/>
  <c r="H22" i="1"/>
  <c r="L22" i="1"/>
  <c r="H18" i="1"/>
  <c r="L18" i="1" s="1"/>
  <c r="I18" i="1"/>
  <c r="M18" i="1"/>
  <c r="J20" i="1"/>
  <c r="N20" i="1"/>
  <c r="H24" i="1"/>
  <c r="L24" i="1"/>
  <c r="H20" i="1"/>
  <c r="L20" i="1" s="1"/>
  <c r="H14" i="1"/>
  <c r="L14" i="1" s="1"/>
  <c r="J14" i="1"/>
  <c r="N14" i="1" s="1"/>
  <c r="X14" i="1"/>
  <c r="R14" i="1"/>
  <c r="E47" i="1"/>
  <c r="I14" i="1"/>
  <c r="M14" i="1"/>
  <c r="O41" i="1" l="1"/>
  <c r="U41" i="1" s="1"/>
  <c r="U13" i="1"/>
  <c r="U27" i="1"/>
  <c r="T27" i="1"/>
  <c r="U39" i="1"/>
  <c r="S39" i="1"/>
  <c r="T31" i="1"/>
  <c r="U31" i="1"/>
  <c r="H43" i="1"/>
  <c r="K43" i="1"/>
  <c r="J43" i="1"/>
  <c r="I43" i="1"/>
  <c r="N43" i="1"/>
  <c r="L43" i="1"/>
  <c r="G36" i="1"/>
  <c r="K36" i="1" s="1"/>
  <c r="O36" i="1" s="1"/>
  <c r="J36" i="1"/>
  <c r="N36" i="1" s="1"/>
  <c r="H36" i="1"/>
  <c r="L36" i="1" s="1"/>
  <c r="U35" i="1"/>
  <c r="I38" i="1"/>
  <c r="M38" i="1" s="1"/>
  <c r="J38" i="1"/>
  <c r="N38" i="1" s="1"/>
  <c r="G38" i="1"/>
  <c r="K38" i="1" s="1"/>
  <c r="G26" i="1"/>
  <c r="K26" i="1" s="1"/>
  <c r="I26" i="1"/>
  <c r="M26" i="1" s="1"/>
  <c r="J26" i="1"/>
  <c r="N26" i="1" s="1"/>
  <c r="O14" i="1"/>
  <c r="T35" i="1"/>
  <c r="S29" i="1"/>
  <c r="S27" i="1"/>
  <c r="P21" i="1"/>
  <c r="S21" i="1"/>
  <c r="X21" i="1"/>
  <c r="R21" i="1"/>
  <c r="T21" i="1" s="1"/>
  <c r="W21" i="1"/>
  <c r="R17" i="1"/>
  <c r="P17" i="1"/>
  <c r="P16" i="1" s="1"/>
  <c r="S13" i="1"/>
  <c r="V35" i="1"/>
  <c r="O33" i="1"/>
  <c r="G43" i="1"/>
  <c r="O29" i="1"/>
  <c r="U29" i="1" s="1"/>
  <c r="G40" i="1"/>
  <c r="K40" i="1" s="1"/>
  <c r="H40" i="1"/>
  <c r="L40" i="1" s="1"/>
  <c r="I40" i="1"/>
  <c r="M40" i="1" s="1"/>
  <c r="G28" i="1"/>
  <c r="K28" i="1" s="1"/>
  <c r="I28" i="1"/>
  <c r="M28" i="1" s="1"/>
  <c r="H28" i="1"/>
  <c r="L28" i="1" s="1"/>
  <c r="J28" i="1"/>
  <c r="N28" i="1" s="1"/>
  <c r="O32" i="1"/>
  <c r="O37" i="1"/>
  <c r="R43" i="1"/>
  <c r="O17" i="1"/>
  <c r="U17" i="1" s="1"/>
  <c r="O25" i="1"/>
  <c r="B10" i="6" s="1"/>
  <c r="O23" i="1"/>
  <c r="H38" i="1"/>
  <c r="L38" i="1" s="1"/>
  <c r="O24" i="1"/>
  <c r="U24" i="1" s="1"/>
  <c r="M43" i="1"/>
  <c r="S37" i="1"/>
  <c r="G42" i="1"/>
  <c r="K42" i="1" s="1"/>
  <c r="I42" i="1"/>
  <c r="M42" i="1" s="1"/>
  <c r="J34" i="1"/>
  <c r="N34" i="1" s="1"/>
  <c r="H34" i="1"/>
  <c r="L34" i="1" s="1"/>
  <c r="G34" i="1"/>
  <c r="K34" i="1" s="1"/>
  <c r="I34" i="1"/>
  <c r="M34" i="1" s="1"/>
  <c r="H16" i="1"/>
  <c r="L16" i="1" s="1"/>
  <c r="G16" i="1"/>
  <c r="K16" i="1" s="1"/>
  <c r="I16" i="1"/>
  <c r="M16" i="1" s="1"/>
  <c r="J16" i="1"/>
  <c r="N16" i="1" s="1"/>
  <c r="T41" i="1"/>
  <c r="T39" i="1"/>
  <c r="T33" i="1"/>
  <c r="S31" i="1"/>
  <c r="P19" i="1"/>
  <c r="X19" i="1"/>
  <c r="R19" i="1"/>
  <c r="T19" i="1" s="1"/>
  <c r="W19" i="1"/>
  <c r="W15" i="1"/>
  <c r="P15" i="1"/>
  <c r="S15" i="1" s="1"/>
  <c r="U15" i="1"/>
  <c r="T15" i="1"/>
  <c r="X15" i="1"/>
  <c r="X17" i="1"/>
  <c r="I22" i="1"/>
  <c r="M22" i="1" s="1"/>
  <c r="G22" i="1"/>
  <c r="K22" i="1" s="1"/>
  <c r="O22" i="1" s="1"/>
  <c r="G20" i="1"/>
  <c r="K20" i="1" s="1"/>
  <c r="I20" i="1"/>
  <c r="M20" i="1" s="1"/>
  <c r="J18" i="1"/>
  <c r="N18" i="1" s="1"/>
  <c r="G18" i="1"/>
  <c r="K18" i="1" s="1"/>
  <c r="O18" i="1" s="1"/>
  <c r="U18" i="1" s="1"/>
  <c r="X38" i="1"/>
  <c r="P38" i="1"/>
  <c r="R38" i="1"/>
  <c r="X30" i="1"/>
  <c r="R30" i="1"/>
  <c r="P30" i="1"/>
  <c r="S30" i="1" s="1"/>
  <c r="X22" i="1"/>
  <c r="P22" i="1"/>
  <c r="S22" i="1" s="1"/>
  <c r="R22" i="1"/>
  <c r="T30" i="1"/>
  <c r="X42" i="1"/>
  <c r="R42" i="1"/>
  <c r="X34" i="1"/>
  <c r="R34" i="1"/>
  <c r="X26" i="1"/>
  <c r="R26" i="1"/>
  <c r="R20" i="1"/>
  <c r="X20" i="1"/>
  <c r="P20" i="1"/>
  <c r="W42" i="1"/>
  <c r="W34" i="1"/>
  <c r="W26" i="1"/>
  <c r="W18" i="1"/>
  <c r="X40" i="1"/>
  <c r="X36" i="1"/>
  <c r="X32" i="1"/>
  <c r="X28" i="1"/>
  <c r="S41" i="1"/>
  <c r="R18" i="1"/>
  <c r="W13" i="1"/>
  <c r="W38" i="1"/>
  <c r="W30" i="1"/>
  <c r="W22" i="1"/>
  <c r="X18" i="1"/>
  <c r="T13" i="1"/>
  <c r="H51" i="1" l="1"/>
  <c r="S19" i="1"/>
  <c r="V19" i="1" s="1"/>
  <c r="Y19" i="1" s="1"/>
  <c r="Z19" i="1" s="1"/>
  <c r="E51" i="1"/>
  <c r="H50" i="1"/>
  <c r="O40" i="1"/>
  <c r="T40" i="1" s="1"/>
  <c r="V15" i="1"/>
  <c r="Y15" i="1" s="1"/>
  <c r="Z15" i="1" s="1"/>
  <c r="V22" i="1"/>
  <c r="V41" i="1"/>
  <c r="Y41" i="1" s="1"/>
  <c r="Z41" i="1" s="1"/>
  <c r="U22" i="1"/>
  <c r="T22" i="1"/>
  <c r="Y22" i="1" s="1"/>
  <c r="Z22" i="1" s="1"/>
  <c r="V31" i="1"/>
  <c r="U40" i="1"/>
  <c r="S40" i="1"/>
  <c r="E49" i="1"/>
  <c r="T36" i="1"/>
  <c r="U36" i="1"/>
  <c r="T24" i="1"/>
  <c r="O34" i="1"/>
  <c r="O42" i="1"/>
  <c r="O28" i="1"/>
  <c r="T17" i="1"/>
  <c r="Y35" i="1"/>
  <c r="Z35" i="1" s="1"/>
  <c r="O26" i="1"/>
  <c r="V21" i="1"/>
  <c r="Y21" i="1" s="1"/>
  <c r="Z21" i="1" s="1"/>
  <c r="V29" i="1"/>
  <c r="Y31" i="1"/>
  <c r="Z31" i="1" s="1"/>
  <c r="S24" i="1"/>
  <c r="S18" i="1"/>
  <c r="T18" i="1"/>
  <c r="V30" i="1"/>
  <c r="Y30" i="1" s="1"/>
  <c r="Z30" i="1" s="1"/>
  <c r="O16" i="1"/>
  <c r="V37" i="1"/>
  <c r="S23" i="1"/>
  <c r="U23" i="1"/>
  <c r="T23" i="1"/>
  <c r="T37" i="1"/>
  <c r="U37" i="1"/>
  <c r="P43" i="1"/>
  <c r="S16" i="1"/>
  <c r="T14" i="1"/>
  <c r="U14" i="1"/>
  <c r="S14" i="1"/>
  <c r="O38" i="1"/>
  <c r="V39" i="1"/>
  <c r="Y39" i="1" s="1"/>
  <c r="Z39" i="1" s="1"/>
  <c r="T29" i="1"/>
  <c r="Y29" i="1" s="1"/>
  <c r="Z29" i="1" s="1"/>
  <c r="S36" i="1"/>
  <c r="O20" i="1"/>
  <c r="S20" i="1" s="1"/>
  <c r="U25" i="1"/>
  <c r="D10" i="6" s="1"/>
  <c r="T25" i="1"/>
  <c r="D9" i="6" s="1"/>
  <c r="S25" i="1"/>
  <c r="B15" i="6" s="1"/>
  <c r="T32" i="1"/>
  <c r="U32" i="1"/>
  <c r="S32" i="1"/>
  <c r="S33" i="1"/>
  <c r="U33" i="1"/>
  <c r="V13" i="1"/>
  <c r="S17" i="1"/>
  <c r="V27" i="1"/>
  <c r="Y27" i="1" s="1"/>
  <c r="Z27" i="1" s="1"/>
  <c r="Y37" i="1" l="1"/>
  <c r="Z37" i="1" s="1"/>
  <c r="V17" i="1"/>
  <c r="V36" i="1"/>
  <c r="Y36" i="1" s="1"/>
  <c r="Z36" i="1" s="1"/>
  <c r="V24" i="1"/>
  <c r="Y24" i="1" s="1"/>
  <c r="Z24" i="1" s="1"/>
  <c r="U34" i="1"/>
  <c r="T34" i="1"/>
  <c r="S34" i="1"/>
  <c r="T38" i="1"/>
  <c r="U38" i="1"/>
  <c r="S38" i="1"/>
  <c r="V16" i="1"/>
  <c r="Y17" i="1"/>
  <c r="Z17" i="1" s="1"/>
  <c r="V20" i="1"/>
  <c r="E48" i="1"/>
  <c r="E52" i="1" s="1"/>
  <c r="V14" i="1"/>
  <c r="U16" i="1"/>
  <c r="T16" i="1"/>
  <c r="Y18" i="1"/>
  <c r="Z18" i="1" s="1"/>
  <c r="U28" i="1"/>
  <c r="T28" i="1"/>
  <c r="S28" i="1"/>
  <c r="Y13" i="1"/>
  <c r="V33" i="1"/>
  <c r="Y33" i="1" s="1"/>
  <c r="Z33" i="1" s="1"/>
  <c r="V25" i="1"/>
  <c r="U20" i="1"/>
  <c r="T20" i="1"/>
  <c r="V23" i="1"/>
  <c r="Y23" i="1" s="1"/>
  <c r="Z23" i="1" s="1"/>
  <c r="V18" i="1"/>
  <c r="U26" i="1"/>
  <c r="S26" i="1"/>
  <c r="T26" i="1"/>
  <c r="U42" i="1"/>
  <c r="S42" i="1"/>
  <c r="T42" i="1"/>
  <c r="V40" i="1"/>
  <c r="Y40" i="1" s="1"/>
  <c r="Z40" i="1" s="1"/>
  <c r="V32" i="1"/>
  <c r="Y32" i="1" s="1"/>
  <c r="Z32" i="1" s="1"/>
  <c r="Y25" i="1" l="1"/>
  <c r="D11" i="6"/>
  <c r="Y16" i="1"/>
  <c r="Z16" i="1" s="1"/>
  <c r="V26" i="1"/>
  <c r="Z13" i="1"/>
  <c r="V38" i="1"/>
  <c r="Y38" i="1" s="1"/>
  <c r="Z38" i="1" s="1"/>
  <c r="S43" i="1"/>
  <c r="V42" i="1"/>
  <c r="V28" i="1"/>
  <c r="H46" i="1"/>
  <c r="L45" i="1"/>
  <c r="Y14" i="1"/>
  <c r="Z14" i="1" s="1"/>
  <c r="Y20" i="1"/>
  <c r="Z20" i="1" s="1"/>
  <c r="Y28" i="1"/>
  <c r="Z28" i="1" s="1"/>
  <c r="L46" i="1"/>
  <c r="H47" i="1"/>
  <c r="V34" i="1"/>
  <c r="Y34" i="1" s="1"/>
  <c r="Z34" i="1" s="1"/>
  <c r="L48" i="1"/>
  <c r="L47" i="1"/>
  <c r="Y42" i="1"/>
  <c r="Z42" i="1" s="1"/>
  <c r="Z25" i="1" l="1"/>
  <c r="D18" i="6" s="1"/>
  <c r="D15" i="6"/>
  <c r="H49" i="1"/>
  <c r="L49" i="1"/>
  <c r="L51" i="1"/>
  <c r="L50" i="1"/>
  <c r="K52" i="1" s="1"/>
  <c r="H52" i="1"/>
  <c r="F54" i="1" s="1"/>
  <c r="Y26" i="1"/>
  <c r="Z26" i="1" s="1"/>
  <c r="Y43" i="1" l="1"/>
  <c r="Z43" i="1" s="1"/>
</calcChain>
</file>

<file path=xl/sharedStrings.xml><?xml version="1.0" encoding="utf-8"?>
<sst xmlns="http://schemas.openxmlformats.org/spreadsheetml/2006/main" count="245" uniqueCount="168">
  <si>
    <t>DIURNA</t>
  </si>
  <si>
    <t>NOCTURNA</t>
  </si>
  <si>
    <t>FESTIVA DIURNA</t>
  </si>
  <si>
    <t>FESTIVA NOCTURNA</t>
  </si>
  <si>
    <t>NÚMERO DE HORAS EXTRAS</t>
  </si>
  <si>
    <t>VALOR DE HORAS EXTRAS</t>
  </si>
  <si>
    <t>EPS</t>
  </si>
  <si>
    <t>FP</t>
  </si>
  <si>
    <t>FS</t>
  </si>
  <si>
    <t>APORTES</t>
  </si>
  <si>
    <t>VALOR</t>
  </si>
  <si>
    <t>COOPERATIVA</t>
  </si>
  <si>
    <t>SINDICATO</t>
  </si>
  <si>
    <t>DEDUCCIONES</t>
  </si>
  <si>
    <t>TOTALES</t>
  </si>
  <si>
    <t>DEVENGADOS</t>
  </si>
  <si>
    <t>EXTRAS</t>
  </si>
  <si>
    <t>TRANSPORTE</t>
  </si>
  <si>
    <t>COMISIÓN</t>
  </si>
  <si>
    <t>BONIFICACIÓN</t>
  </si>
  <si>
    <t>IVM</t>
  </si>
  <si>
    <t>CESANTIAS</t>
  </si>
  <si>
    <t>APROPIACIONES</t>
  </si>
  <si>
    <t>PRIMAS</t>
  </si>
  <si>
    <t>VACACIONES</t>
  </si>
  <si>
    <t>SENA</t>
  </si>
  <si>
    <t>ICBF</t>
  </si>
  <si>
    <t>%</t>
  </si>
  <si>
    <t>SALARIO MINIMO</t>
  </si>
  <si>
    <t>% EPS EMPLEADO</t>
  </si>
  <si>
    <t>% FP EMPLEADO</t>
  </si>
  <si>
    <t>% FS</t>
  </si>
  <si>
    <t>VALOR VENTAS MES</t>
  </si>
  <si>
    <t>% COMISIÓN</t>
  </si>
  <si>
    <t>% COOPERATIVA</t>
  </si>
  <si>
    <t>% SINDICATO</t>
  </si>
  <si>
    <t>% BONIFICACIÓN</t>
  </si>
  <si>
    <t>OSERVACIONES</t>
  </si>
  <si>
    <t>BÁSICOMENSUAL</t>
  </si>
  <si>
    <t>NÚMERO CHEQUE</t>
  </si>
  <si>
    <t>BANCO</t>
  </si>
  <si>
    <t>TOTAL DEVENGADO</t>
  </si>
  <si>
    <t>TOTAL NETO PAGADO</t>
  </si>
  <si>
    <t>TOTAL DEDUCIDO</t>
  </si>
  <si>
    <t>TOTAL APROPIACIONES</t>
  </si>
  <si>
    <t>NÓMINA PARA EL PAGO DE SUELDOS</t>
  </si>
  <si>
    <t>Digitador</t>
  </si>
  <si>
    <t>Vendedor</t>
  </si>
  <si>
    <t>Operario</t>
  </si>
  <si>
    <t>Secretaria</t>
  </si>
  <si>
    <t>Aseadora</t>
  </si>
  <si>
    <t>Gerente</t>
  </si>
  <si>
    <t>Auxiliar Contable</t>
  </si>
  <si>
    <t>Digitadora</t>
  </si>
  <si>
    <t>Ángela María Hernández</t>
  </si>
  <si>
    <t>Yohiner Tangarife</t>
  </si>
  <si>
    <t>Eliana Marcela Aguirre</t>
  </si>
  <si>
    <t>Luz Enith Betancur</t>
  </si>
  <si>
    <t>Claudia González</t>
  </si>
  <si>
    <t>Camilo Ceballos</t>
  </si>
  <si>
    <t>Hernán Darío Hernández</t>
  </si>
  <si>
    <t>Yuliana Cardona</t>
  </si>
  <si>
    <t>Mónica Yurany Giraldo</t>
  </si>
  <si>
    <t>Andrés Felipe Ramírez</t>
  </si>
  <si>
    <t>Maricela López</t>
  </si>
  <si>
    <t>Leidy Rosalía Galvis</t>
  </si>
  <si>
    <t>Leidy Maritza Herrera</t>
  </si>
  <si>
    <t>Carlos Andrés Giraldo</t>
  </si>
  <si>
    <t>Yeisón Fernando García</t>
  </si>
  <si>
    <t>Carlos Mario Quiroz</t>
  </si>
  <si>
    <t>Didier Alejandro Sánchez</t>
  </si>
  <si>
    <t>Luis Fernando Vanegas</t>
  </si>
  <si>
    <t>Doralba Galeano</t>
  </si>
  <si>
    <t>Francy Ruby Román</t>
  </si>
  <si>
    <t>Martha Deisy Ceballos</t>
  </si>
  <si>
    <t>Sandra Marcela Rojas</t>
  </si>
  <si>
    <t>Mauricio Alzate</t>
  </si>
  <si>
    <t>Nayibet Galvis</t>
  </si>
  <si>
    <t>Dora Luz Montoya</t>
  </si>
  <si>
    <t>Carolina Rodríguez</t>
  </si>
  <si>
    <t>Patricia Rodriguez</t>
  </si>
  <si>
    <t>DATOS HORAS EXTRAS</t>
  </si>
  <si>
    <t>Extra Diurna</t>
  </si>
  <si>
    <t>Extra Nocturna</t>
  </si>
  <si>
    <t>Extra Festiva Duirna</t>
  </si>
  <si>
    <t>Extra Festiva Nocturna</t>
  </si>
  <si>
    <t>Diana López</t>
  </si>
  <si>
    <t>FESTIVA  NOCTURNA</t>
  </si>
  <si>
    <t>FESTIVA  DIURNA</t>
  </si>
  <si>
    <t>DATOS BÁSICOS PARA LIQUIDAR LA NÓMINA</t>
  </si>
  <si>
    <t>BANCOLOMBIA</t>
  </si>
  <si>
    <t>0001-256548-454652</t>
  </si>
  <si>
    <t xml:space="preserve">NOMBRE </t>
  </si>
  <si>
    <t>DEL</t>
  </si>
  <si>
    <t>EMPLEADO</t>
  </si>
  <si>
    <t>CARGO</t>
  </si>
  <si>
    <t xml:space="preserve">DEL </t>
  </si>
  <si>
    <t>NÚMERO</t>
  </si>
  <si>
    <t xml:space="preserve">DE </t>
  </si>
  <si>
    <t>DÍAS</t>
  </si>
  <si>
    <t>BÁSICO</t>
  </si>
  <si>
    <t>DIARIO</t>
  </si>
  <si>
    <t xml:space="preserve">BÁSICO </t>
  </si>
  <si>
    <t>MENSUAL</t>
  </si>
  <si>
    <t>TOTAL</t>
  </si>
  <si>
    <t>AUXILIO</t>
  </si>
  <si>
    <t>NETO</t>
  </si>
  <si>
    <t>PAGADO</t>
  </si>
  <si>
    <t>BÁSICO MENSUAL</t>
  </si>
  <si>
    <t>TOTAL EXTRAS</t>
  </si>
  <si>
    <t xml:space="preserve"> TRANSPORTE</t>
  </si>
  <si>
    <t xml:space="preserve"> COMISIÓN</t>
  </si>
  <si>
    <t xml:space="preserve"> BONIFICACIÓN</t>
  </si>
  <si>
    <t xml:space="preserve"> DEVENGADO</t>
  </si>
  <si>
    <t xml:space="preserve"> EPS</t>
  </si>
  <si>
    <t xml:space="preserve"> FP</t>
  </si>
  <si>
    <t xml:space="preserve"> FS</t>
  </si>
  <si>
    <t xml:space="preserve"> COOPERATIVA</t>
  </si>
  <si>
    <t xml:space="preserve"> SINDICATO</t>
  </si>
  <si>
    <t xml:space="preserve"> DEDUCCIONES</t>
  </si>
  <si>
    <t>NETO PAGADO</t>
  </si>
  <si>
    <t>NOMBRE DEL EMPLEADO</t>
  </si>
  <si>
    <t>Operaria</t>
  </si>
  <si>
    <t>Liliana Ríos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</si>
  <si>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</si>
  <si>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</si>
  <si>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</si>
  <si>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</si>
  <si>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</si>
  <si>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</si>
  <si>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</si>
  <si>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</si>
  <si>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</si>
  <si>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</si>
  <si>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</si>
  <si>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</si>
  <si>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</si>
  <si>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</si>
  <si>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</si>
  <si>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</si>
  <si>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</si>
  <si>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</si>
  <si>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</si>
  <si>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</si>
  <si>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</si>
  <si>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</si>
  <si>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</si>
  <si>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</si>
  <si>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</si>
  <si>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</si>
  <si>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</si>
  <si>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</si>
  <si>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</si>
  <si>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</si>
  <si>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COLILLA DE PAGO</t>
  </si>
  <si>
    <t>LEONISA INTERNACIONAL</t>
  </si>
  <si>
    <t>CODIGO DEL EMPLEADO</t>
  </si>
  <si>
    <t>Ospina Borja Pedro Nel</t>
  </si>
  <si>
    <t>CODIGO</t>
  </si>
  <si>
    <t>AL_______________31 DE OCTUBRE_______________________________________________</t>
  </si>
  <si>
    <t xml:space="preserve">PERIODO DE PAGO DEL________01_____________ </t>
  </si>
  <si>
    <t>Codigo del 
Empleado</t>
  </si>
  <si>
    <t>Nombre del Empleado</t>
  </si>
  <si>
    <t>Cargo del Empleado</t>
  </si>
  <si>
    <t>Salario Basico</t>
  </si>
  <si>
    <t>Salario Diario</t>
  </si>
  <si>
    <t>TOTAL
DEVENGADO</t>
  </si>
  <si>
    <t>PAGO DEL 1 AL 30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</si>
</sst>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0.0%"/>
    <numFmt numFmtId="166" formatCode="_(&quot;$&quot;* #,##0_);_(&quot;$&quot;* \(#,##0\);_(&quot;$&quot;* &quot;-&quot;??_);_(@_)"/>
    <numFmt numFmtId="167" formatCode="0.000%"/>
  </numFmts>
  <fonts count="16" x14ac:knownFonts="1">
    <font>
      <sz val="10"/>
      <name val="Arial"/>
    </font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sz val="12"/>
      <color indexed="18"/>
      <name val="Tahoma"/>
      <family val="2"/>
    </font>
    <font>
      <sz val="10"/>
      <color indexed="21"/>
      <name val="Tahoma"/>
      <family val="2"/>
    </font>
    <font>
      <b/>
      <sz val="14"/>
      <color indexed="10"/>
      <name val="Tahoma"/>
      <family val="2"/>
    </font>
    <font>
      <b/>
      <sz val="12"/>
      <name val="Tahoma"/>
      <family val="2"/>
    </font>
    <font>
      <sz val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12"/>
      </right>
      <top style="thick">
        <color indexed="64"/>
      </top>
      <bottom style="thick">
        <color indexed="64"/>
      </bottom>
      <diagonal/>
    </border>
    <border>
      <left style="thin">
        <color indexed="1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12"/>
      </right>
      <top/>
      <bottom style="thick">
        <color indexed="64"/>
      </bottom>
      <diagonal/>
    </border>
    <border>
      <left style="medium">
        <color indexed="12"/>
      </left>
      <right style="medium">
        <color indexed="12"/>
      </right>
      <top/>
      <bottom style="thick">
        <color indexed="64"/>
      </bottom>
      <diagonal/>
    </border>
    <border>
      <left style="medium">
        <color indexed="12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/>
      <top/>
      <bottom/>
      <diagonal/>
    </border>
    <border>
      <left style="thick">
        <color indexed="64"/>
      </left>
      <right style="medium">
        <color indexed="12"/>
      </right>
      <top style="thick">
        <color indexed="64"/>
      </top>
      <bottom style="thick">
        <color indexed="64"/>
      </bottom>
      <diagonal/>
    </border>
    <border>
      <left style="medium">
        <color indexed="1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12"/>
      </bottom>
      <diagonal/>
    </border>
    <border>
      <left style="thick">
        <color indexed="64"/>
      </left>
      <right style="thick">
        <color indexed="64"/>
      </right>
      <top style="medium">
        <color indexed="12"/>
      </top>
      <bottom style="thick">
        <color indexed="64"/>
      </bottom>
      <diagonal/>
    </border>
    <border>
      <left style="thick">
        <color indexed="64"/>
      </left>
      <right style="medium">
        <color indexed="12"/>
      </right>
      <top style="thick">
        <color indexed="64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ck">
        <color indexed="64"/>
      </top>
      <bottom style="medium">
        <color indexed="12"/>
      </bottom>
      <diagonal/>
    </border>
    <border>
      <left style="medium">
        <color indexed="12"/>
      </left>
      <right style="thick">
        <color indexed="64"/>
      </right>
      <top style="thick">
        <color indexed="64"/>
      </top>
      <bottom style="medium">
        <color indexed="12"/>
      </bottom>
      <diagonal/>
    </border>
    <border>
      <left style="thick">
        <color indexed="64"/>
      </left>
      <right style="medium">
        <color indexed="12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thick">
        <color indexed="64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medium">
        <color indexed="12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 style="thick">
        <color indexed="64"/>
      </right>
      <top/>
      <bottom style="medium">
        <color indexed="1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1" applyFont="1" applyBorder="1"/>
    <xf numFmtId="166" fontId="2" fillId="0" borderId="1" xfId="1" applyNumberFormat="1" applyFont="1" applyBorder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64" fontId="2" fillId="0" borderId="2" xfId="1" applyFont="1" applyBorder="1"/>
    <xf numFmtId="166" fontId="2" fillId="0" borderId="2" xfId="1" applyNumberFormat="1" applyFont="1" applyBorder="1"/>
    <xf numFmtId="164" fontId="2" fillId="0" borderId="0" xfId="1" applyFont="1"/>
    <xf numFmtId="1" fontId="8" fillId="0" borderId="0" xfId="0" applyNumberFormat="1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0" xfId="0" applyFont="1"/>
    <xf numFmtId="0" fontId="11" fillId="0" borderId="6" xfId="0" applyFont="1" applyBorder="1"/>
    <xf numFmtId="0" fontId="11" fillId="0" borderId="0" xfId="0" applyFont="1" applyBorder="1"/>
    <xf numFmtId="0" fontId="11" fillId="0" borderId="7" xfId="0" applyFont="1" applyBorder="1"/>
    <xf numFmtId="0" fontId="13" fillId="0" borderId="6" xfId="0" applyFont="1" applyBorder="1"/>
    <xf numFmtId="0" fontId="13" fillId="0" borderId="0" xfId="0" applyFont="1" applyBorder="1"/>
    <xf numFmtId="0" fontId="13" fillId="0" borderId="6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3" fillId="0" borderId="11" xfId="0" applyFont="1" applyBorder="1" applyAlignment="1">
      <alignment horizontal="center"/>
    </xf>
    <xf numFmtId="9" fontId="11" fillId="0" borderId="11" xfId="0" applyNumberFormat="1" applyFont="1" applyBorder="1" applyAlignment="1">
      <alignment horizontal="center"/>
    </xf>
    <xf numFmtId="166" fontId="11" fillId="0" borderId="11" xfId="1" applyNumberFormat="1" applyFont="1" applyBorder="1"/>
    <xf numFmtId="166" fontId="11" fillId="0" borderId="12" xfId="0" applyNumberFormat="1" applyFont="1" applyBorder="1"/>
    <xf numFmtId="167" fontId="11" fillId="0" borderId="11" xfId="0" applyNumberFormat="1" applyFont="1" applyBorder="1" applyAlignment="1">
      <alignment horizontal="center"/>
    </xf>
    <xf numFmtId="166" fontId="11" fillId="0" borderId="11" xfId="0" applyNumberFormat="1" applyFont="1" applyBorder="1"/>
    <xf numFmtId="10" fontId="11" fillId="0" borderId="11" xfId="0" applyNumberFormat="1" applyFont="1" applyBorder="1" applyAlignment="1">
      <alignment horizontal="center"/>
    </xf>
    <xf numFmtId="1" fontId="13" fillId="0" borderId="11" xfId="0" applyNumberFormat="1" applyFont="1" applyBorder="1"/>
    <xf numFmtId="165" fontId="11" fillId="0" borderId="11" xfId="2" applyNumberFormat="1" applyFont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0" fontId="11" fillId="0" borderId="13" xfId="0" applyFont="1" applyBorder="1"/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3" xfId="0" applyFont="1" applyBorder="1" applyAlignment="1">
      <alignment horizontal="center"/>
    </xf>
    <xf numFmtId="166" fontId="11" fillId="0" borderId="13" xfId="1" applyNumberFormat="1" applyFont="1" applyBorder="1"/>
    <xf numFmtId="166" fontId="11" fillId="0" borderId="13" xfId="0" applyNumberFormat="1" applyFont="1" applyBorder="1"/>
    <xf numFmtId="0" fontId="13" fillId="0" borderId="14" xfId="0" applyFont="1" applyBorder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0" fontId="14" fillId="0" borderId="0" xfId="0" applyFont="1"/>
    <xf numFmtId="166" fontId="11" fillId="6" borderId="13" xfId="1" applyNumberFormat="1" applyFont="1" applyFill="1" applyBorder="1"/>
    <xf numFmtId="166" fontId="15" fillId="0" borderId="13" xfId="1" applyNumberFormat="1" applyFont="1" applyBorder="1"/>
    <xf numFmtId="166" fontId="15" fillId="0" borderId="13" xfId="0" applyNumberFormat="1" applyFont="1" applyBorder="1"/>
    <xf numFmtId="166" fontId="11" fillId="0" borderId="12" xfId="1" applyNumberFormat="1" applyFont="1" applyBorder="1" applyAlignment="1"/>
    <xf numFmtId="166" fontId="11" fillId="0" borderId="15" xfId="1" applyNumberFormat="1" applyFont="1" applyBorder="1" applyAlignment="1"/>
    <xf numFmtId="166" fontId="11" fillId="0" borderId="16" xfId="1" applyNumberFormat="1" applyFont="1" applyBorder="1" applyAlignment="1"/>
    <xf numFmtId="0" fontId="7" fillId="2" borderId="13" xfId="0" applyFont="1" applyFill="1" applyBorder="1"/>
    <xf numFmtId="0" fontId="7" fillId="3" borderId="13" xfId="0" applyFont="1" applyFill="1" applyBorder="1"/>
    <xf numFmtId="166" fontId="2" fillId="3" borderId="13" xfId="1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166" fontId="2" fillId="3" borderId="13" xfId="1" applyNumberFormat="1" applyFont="1" applyFill="1" applyBorder="1" applyAlignment="1"/>
    <xf numFmtId="164" fontId="2" fillId="3" borderId="13" xfId="1" applyFont="1" applyFill="1" applyBorder="1"/>
    <xf numFmtId="166" fontId="2" fillId="3" borderId="13" xfId="1" applyNumberFormat="1" applyFont="1" applyFill="1" applyBorder="1"/>
    <xf numFmtId="164" fontId="2" fillId="3" borderId="13" xfId="1" applyFont="1" applyFill="1" applyBorder="1" applyAlignment="1">
      <alignment horizontal="center"/>
    </xf>
    <xf numFmtId="0" fontId="2" fillId="3" borderId="13" xfId="0" applyFont="1" applyFill="1" applyBorder="1"/>
    <xf numFmtId="1" fontId="2" fillId="3" borderId="13" xfId="0" applyNumberFormat="1" applyFont="1" applyFill="1" applyBorder="1"/>
    <xf numFmtId="1" fontId="8" fillId="3" borderId="13" xfId="0" applyNumberFormat="1" applyFont="1" applyFill="1" applyBorder="1"/>
    <xf numFmtId="0" fontId="2" fillId="0" borderId="13" xfId="0" applyFont="1" applyBorder="1"/>
    <xf numFmtId="1" fontId="8" fillId="0" borderId="13" xfId="0" applyNumberFormat="1" applyFont="1" applyBorder="1"/>
    <xf numFmtId="0" fontId="9" fillId="4" borderId="13" xfId="0" applyFont="1" applyFill="1" applyBorder="1"/>
    <xf numFmtId="166" fontId="10" fillId="4" borderId="13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7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167" fontId="11" fillId="0" borderId="11" xfId="0" applyNumberFormat="1" applyFont="1" applyBorder="1" applyAlignment="1">
      <alignment horizontal="right"/>
    </xf>
    <xf numFmtId="0" fontId="13" fillId="0" borderId="26" xfId="0" applyFont="1" applyBorder="1" applyAlignment="1">
      <alignment horizontal="left"/>
    </xf>
    <xf numFmtId="0" fontId="13" fillId="0" borderId="36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166" fontId="13" fillId="0" borderId="28" xfId="0" applyNumberFormat="1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6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166" fontId="11" fillId="0" borderId="11" xfId="1" applyNumberFormat="1" applyFont="1" applyBorder="1" applyAlignment="1">
      <alignment horizontal="right"/>
    </xf>
    <xf numFmtId="9" fontId="11" fillId="0" borderId="11" xfId="0" applyNumberFormat="1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3" fillId="0" borderId="30" xfId="0" applyFont="1" applyBorder="1" applyAlignment="1">
      <alignment horizontal="right" vertical="center" wrapText="1"/>
    </xf>
    <xf numFmtId="0" fontId="13" fillId="0" borderId="31" xfId="0" applyFont="1" applyBorder="1" applyAlignment="1">
      <alignment horizontal="right" vertical="center" wrapText="1"/>
    </xf>
    <xf numFmtId="0" fontId="13" fillId="0" borderId="32" xfId="0" applyFont="1" applyBorder="1" applyAlignment="1">
      <alignment horizontal="right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right" vertical="center" wrapText="1"/>
    </xf>
    <xf numFmtId="0" fontId="13" fillId="0" borderId="35" xfId="0" applyFont="1" applyBorder="1" applyAlignment="1">
      <alignment horizontal="right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66" fontId="13" fillId="0" borderId="30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166" fontId="13" fillId="0" borderId="30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0" fontId="11" fillId="0" borderId="11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0" fontId="11" fillId="0" borderId="11" xfId="0" applyNumberFormat="1" applyFont="1" applyBorder="1" applyAlignment="1">
      <alignment horizontal="right"/>
    </xf>
    <xf numFmtId="0" fontId="2" fillId="5" borderId="13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6" workbookViewId="0">
      <selection activeCell="H22" sqref="H22"/>
    </sheetView>
  </sheetViews>
  <sheetFormatPr baseColWidth="10" defaultRowHeight="12.75" x14ac:dyDescent="0.2"/>
  <cols>
    <col min="1" max="1" width="12.85546875" style="1" customWidth="1"/>
    <col min="2" max="2" width="21" style="1" customWidth="1"/>
    <col min="3" max="3" width="19.140625" style="1" bestFit="1" customWidth="1"/>
    <col min="4" max="4" width="14.140625" style="12" bestFit="1" customWidth="1"/>
    <col min="5" max="5" width="10.85546875" style="1" customWidth="1"/>
    <col min="6" max="16384" width="11.42578125" style="1"/>
  </cols>
  <sheetData>
    <row r="1" spans="1:5" x14ac:dyDescent="0.2">
      <c r="A1" s="71" t="s">
        <v>161</v>
      </c>
      <c r="B1" s="71" t="s">
        <v>162</v>
      </c>
      <c r="C1" s="71" t="s">
        <v>163</v>
      </c>
      <c r="D1" s="73" t="s">
        <v>164</v>
      </c>
      <c r="E1" s="71" t="s">
        <v>165</v>
      </c>
    </row>
    <row r="2" spans="1:5" x14ac:dyDescent="0.2">
      <c r="A2" s="72"/>
      <c r="B2" s="72"/>
      <c r="C2" s="72"/>
      <c r="D2" s="74"/>
      <c r="E2" s="72"/>
    </row>
    <row r="3" spans="1:5" x14ac:dyDescent="0.2">
      <c r="A3" s="72"/>
      <c r="B3" s="72"/>
      <c r="C3" s="72"/>
      <c r="D3" s="74"/>
      <c r="E3" s="72"/>
    </row>
    <row r="4" spans="1:5" x14ac:dyDescent="0.2">
      <c r="A4" s="2" t="s">
        <v>124</v>
      </c>
      <c r="B4" s="3" t="s">
        <v>157</v>
      </c>
      <c r="C4" s="4" t="s">
        <v>46</v>
      </c>
      <c r="D4" s="5">
        <v>700000</v>
      </c>
      <c r="E4" s="6">
        <f>D4/30</f>
        <v>23333.333333333332</v>
      </c>
    </row>
    <row r="5" spans="1:5" x14ac:dyDescent="0.2">
      <c r="A5" s="2" t="s">
        <v>125</v>
      </c>
      <c r="B5" s="3" t="s">
        <v>63</v>
      </c>
      <c r="C5" s="4" t="s">
        <v>47</v>
      </c>
      <c r="D5" s="5">
        <v>620000</v>
      </c>
      <c r="E5" s="6">
        <f t="shared" ref="E5:E33" si="0">D5/30</f>
        <v>20666.666666666668</v>
      </c>
    </row>
    <row r="6" spans="1:5" x14ac:dyDescent="0.2">
      <c r="A6" s="2" t="s">
        <v>126</v>
      </c>
      <c r="B6" s="3" t="s">
        <v>54</v>
      </c>
      <c r="C6" s="4" t="s">
        <v>52</v>
      </c>
      <c r="D6" s="5">
        <v>900000</v>
      </c>
      <c r="E6" s="6">
        <f t="shared" si="0"/>
        <v>30000</v>
      </c>
    </row>
    <row r="7" spans="1:5" x14ac:dyDescent="0.2">
      <c r="A7" s="2" t="s">
        <v>127</v>
      </c>
      <c r="B7" s="3" t="s">
        <v>59</v>
      </c>
      <c r="C7" s="4" t="s">
        <v>48</v>
      </c>
      <c r="D7" s="5">
        <v>566700</v>
      </c>
      <c r="E7" s="6">
        <f t="shared" si="0"/>
        <v>18890</v>
      </c>
    </row>
    <row r="8" spans="1:5" x14ac:dyDescent="0.2">
      <c r="A8" s="2" t="s">
        <v>128</v>
      </c>
      <c r="B8" s="3" t="s">
        <v>67</v>
      </c>
      <c r="C8" s="4" t="s">
        <v>49</v>
      </c>
      <c r="D8" s="5">
        <v>750000</v>
      </c>
      <c r="E8" s="6">
        <f t="shared" si="0"/>
        <v>25000</v>
      </c>
    </row>
    <row r="9" spans="1:5" x14ac:dyDescent="0.2">
      <c r="A9" s="2" t="s">
        <v>129</v>
      </c>
      <c r="B9" s="3" t="s">
        <v>69</v>
      </c>
      <c r="C9" s="4" t="s">
        <v>47</v>
      </c>
      <c r="D9" s="5">
        <v>620000</v>
      </c>
      <c r="E9" s="6">
        <f t="shared" si="0"/>
        <v>20666.666666666668</v>
      </c>
    </row>
    <row r="10" spans="1:5" x14ac:dyDescent="0.2">
      <c r="A10" s="2" t="s">
        <v>130</v>
      </c>
      <c r="B10" s="3" t="s">
        <v>79</v>
      </c>
      <c r="C10" s="4" t="s">
        <v>50</v>
      </c>
      <c r="D10" s="5">
        <v>566700</v>
      </c>
      <c r="E10" s="6">
        <f t="shared" si="0"/>
        <v>18890</v>
      </c>
    </row>
    <row r="11" spans="1:5" x14ac:dyDescent="0.2">
      <c r="A11" s="2" t="s">
        <v>131</v>
      </c>
      <c r="B11" s="3" t="s">
        <v>58</v>
      </c>
      <c r="C11" s="4" t="s">
        <v>47</v>
      </c>
      <c r="D11" s="5">
        <v>620000</v>
      </c>
      <c r="E11" s="6">
        <f t="shared" si="0"/>
        <v>20666.666666666668</v>
      </c>
    </row>
    <row r="12" spans="1:5" x14ac:dyDescent="0.2">
      <c r="A12" s="2" t="s">
        <v>132</v>
      </c>
      <c r="B12" s="3" t="s">
        <v>86</v>
      </c>
      <c r="C12" s="4" t="s">
        <v>49</v>
      </c>
      <c r="D12" s="5">
        <v>750000</v>
      </c>
      <c r="E12" s="6">
        <f t="shared" si="0"/>
        <v>25000</v>
      </c>
    </row>
    <row r="13" spans="1:5" x14ac:dyDescent="0.2">
      <c r="A13" s="2" t="s">
        <v>133</v>
      </c>
      <c r="B13" s="3" t="s">
        <v>70</v>
      </c>
      <c r="C13" s="4" t="s">
        <v>46</v>
      </c>
      <c r="D13" s="5">
        <v>700000</v>
      </c>
      <c r="E13" s="6">
        <f t="shared" si="0"/>
        <v>23333.333333333332</v>
      </c>
    </row>
    <row r="14" spans="1:5" x14ac:dyDescent="0.2">
      <c r="A14" s="2" t="s">
        <v>134</v>
      </c>
      <c r="B14" s="3" t="s">
        <v>78</v>
      </c>
      <c r="C14" s="4" t="s">
        <v>52</v>
      </c>
      <c r="D14" s="5">
        <v>900000</v>
      </c>
      <c r="E14" s="6">
        <f t="shared" si="0"/>
        <v>30000</v>
      </c>
    </row>
    <row r="15" spans="1:5" x14ac:dyDescent="0.2">
      <c r="A15" s="2" t="s">
        <v>135</v>
      </c>
      <c r="B15" s="3" t="s">
        <v>72</v>
      </c>
      <c r="C15" s="4" t="s">
        <v>122</v>
      </c>
      <c r="D15" s="5">
        <v>566700</v>
      </c>
      <c r="E15" s="6">
        <f t="shared" si="0"/>
        <v>18890</v>
      </c>
    </row>
    <row r="16" spans="1:5" x14ac:dyDescent="0.2">
      <c r="A16" s="2" t="s">
        <v>136</v>
      </c>
      <c r="B16" s="3" t="s">
        <v>56</v>
      </c>
      <c r="C16" s="4" t="s">
        <v>51</v>
      </c>
      <c r="D16" s="5">
        <v>7000000</v>
      </c>
      <c r="E16" s="6">
        <f t="shared" si="0"/>
        <v>233333.33333333334</v>
      </c>
    </row>
    <row r="17" spans="1:5" x14ac:dyDescent="0.2">
      <c r="A17" s="2" t="s">
        <v>137</v>
      </c>
      <c r="B17" s="3" t="s">
        <v>73</v>
      </c>
      <c r="C17" s="4" t="s">
        <v>52</v>
      </c>
      <c r="D17" s="5">
        <v>900000</v>
      </c>
      <c r="E17" s="6">
        <f t="shared" si="0"/>
        <v>30000</v>
      </c>
    </row>
    <row r="18" spans="1:5" x14ac:dyDescent="0.2">
      <c r="A18" s="2" t="s">
        <v>138</v>
      </c>
      <c r="B18" s="3" t="s">
        <v>60</v>
      </c>
      <c r="C18" s="4" t="s">
        <v>47</v>
      </c>
      <c r="D18" s="5">
        <v>620000</v>
      </c>
      <c r="E18" s="6">
        <f t="shared" si="0"/>
        <v>20666.666666666668</v>
      </c>
    </row>
    <row r="19" spans="1:5" x14ac:dyDescent="0.2">
      <c r="A19" s="2" t="s">
        <v>139</v>
      </c>
      <c r="B19" s="3" t="s">
        <v>66</v>
      </c>
      <c r="C19" s="4" t="s">
        <v>122</v>
      </c>
      <c r="D19" s="5">
        <v>566700</v>
      </c>
      <c r="E19" s="6">
        <f t="shared" si="0"/>
        <v>18890</v>
      </c>
    </row>
    <row r="20" spans="1:5" x14ac:dyDescent="0.2">
      <c r="A20" s="2" t="s">
        <v>140</v>
      </c>
      <c r="B20" s="3" t="s">
        <v>65</v>
      </c>
      <c r="C20" s="4" t="s">
        <v>52</v>
      </c>
      <c r="D20" s="5">
        <v>900000</v>
      </c>
      <c r="E20" s="6">
        <f t="shared" si="0"/>
        <v>30000</v>
      </c>
    </row>
    <row r="21" spans="1:5" x14ac:dyDescent="0.2">
      <c r="A21" s="2" t="s">
        <v>141</v>
      </c>
      <c r="B21" s="3" t="s">
        <v>71</v>
      </c>
      <c r="C21" s="4" t="s">
        <v>46</v>
      </c>
      <c r="D21" s="5">
        <v>700000</v>
      </c>
      <c r="E21" s="6">
        <f t="shared" si="0"/>
        <v>23333.333333333332</v>
      </c>
    </row>
    <row r="22" spans="1:5" x14ac:dyDescent="0.2">
      <c r="A22" s="2" t="s">
        <v>142</v>
      </c>
      <c r="B22" s="3" t="s">
        <v>123</v>
      </c>
      <c r="C22" s="4" t="s">
        <v>47</v>
      </c>
      <c r="D22" s="5">
        <v>620000</v>
      </c>
      <c r="E22" s="6">
        <f t="shared" si="0"/>
        <v>20666.666666666668</v>
      </c>
    </row>
    <row r="23" spans="1:5" x14ac:dyDescent="0.2">
      <c r="A23" s="2" t="s">
        <v>143</v>
      </c>
      <c r="B23" s="3" t="s">
        <v>57</v>
      </c>
      <c r="C23" s="4" t="s">
        <v>52</v>
      </c>
      <c r="D23" s="5">
        <v>900000</v>
      </c>
      <c r="E23" s="6">
        <f t="shared" si="0"/>
        <v>30000</v>
      </c>
    </row>
    <row r="24" spans="1:5" x14ac:dyDescent="0.2">
      <c r="A24" s="2" t="s">
        <v>144</v>
      </c>
      <c r="B24" s="3" t="s">
        <v>64</v>
      </c>
      <c r="C24" s="4" t="s">
        <v>122</v>
      </c>
      <c r="D24" s="5">
        <v>566700</v>
      </c>
      <c r="E24" s="6">
        <f t="shared" si="0"/>
        <v>18890</v>
      </c>
    </row>
    <row r="25" spans="1:5" x14ac:dyDescent="0.2">
      <c r="A25" s="2" t="s">
        <v>145</v>
      </c>
      <c r="B25" s="3" t="s">
        <v>74</v>
      </c>
      <c r="C25" s="4" t="s">
        <v>53</v>
      </c>
      <c r="D25" s="5">
        <v>700000</v>
      </c>
      <c r="E25" s="6">
        <f t="shared" si="0"/>
        <v>23333.333333333332</v>
      </c>
    </row>
    <row r="26" spans="1:5" x14ac:dyDescent="0.2">
      <c r="A26" s="2" t="s">
        <v>146</v>
      </c>
      <c r="B26" s="3" t="s">
        <v>76</v>
      </c>
      <c r="C26" s="4" t="s">
        <v>48</v>
      </c>
      <c r="D26" s="5">
        <v>566700</v>
      </c>
      <c r="E26" s="6">
        <f t="shared" si="0"/>
        <v>18890</v>
      </c>
    </row>
    <row r="27" spans="1:5" x14ac:dyDescent="0.2">
      <c r="A27" s="2" t="s">
        <v>147</v>
      </c>
      <c r="B27" s="3" t="s">
        <v>62</v>
      </c>
      <c r="C27" s="4" t="s">
        <v>49</v>
      </c>
      <c r="D27" s="5">
        <v>750000</v>
      </c>
      <c r="E27" s="6">
        <f t="shared" si="0"/>
        <v>25000</v>
      </c>
    </row>
    <row r="28" spans="1:5" x14ac:dyDescent="0.2">
      <c r="A28" s="2" t="s">
        <v>148</v>
      </c>
      <c r="B28" s="3" t="s">
        <v>77</v>
      </c>
      <c r="C28" s="4" t="s">
        <v>122</v>
      </c>
      <c r="D28" s="5">
        <v>566700</v>
      </c>
      <c r="E28" s="6">
        <f t="shared" si="0"/>
        <v>18890</v>
      </c>
    </row>
    <row r="29" spans="1:5" x14ac:dyDescent="0.2">
      <c r="A29" s="2" t="s">
        <v>149</v>
      </c>
      <c r="B29" s="3" t="s">
        <v>80</v>
      </c>
      <c r="C29" s="4" t="s">
        <v>122</v>
      </c>
      <c r="D29" s="5">
        <v>566700</v>
      </c>
      <c r="E29" s="6">
        <f t="shared" si="0"/>
        <v>18890</v>
      </c>
    </row>
    <row r="30" spans="1:5" x14ac:dyDescent="0.2">
      <c r="A30" s="2" t="s">
        <v>150</v>
      </c>
      <c r="B30" s="3" t="s">
        <v>75</v>
      </c>
      <c r="C30" s="4" t="s">
        <v>122</v>
      </c>
      <c r="D30" s="5">
        <v>566700</v>
      </c>
      <c r="E30" s="6">
        <f t="shared" si="0"/>
        <v>18890</v>
      </c>
    </row>
    <row r="31" spans="1:5" x14ac:dyDescent="0.2">
      <c r="A31" s="2" t="s">
        <v>151</v>
      </c>
      <c r="B31" s="3" t="s">
        <v>68</v>
      </c>
      <c r="C31" s="4" t="s">
        <v>52</v>
      </c>
      <c r="D31" s="5">
        <v>900000</v>
      </c>
      <c r="E31" s="6">
        <f t="shared" si="0"/>
        <v>30000</v>
      </c>
    </row>
    <row r="32" spans="1:5" x14ac:dyDescent="0.2">
      <c r="A32" s="2" t="s">
        <v>152</v>
      </c>
      <c r="B32" s="3" t="s">
        <v>55</v>
      </c>
      <c r="C32" s="4" t="s">
        <v>52</v>
      </c>
      <c r="D32" s="5">
        <v>900000</v>
      </c>
      <c r="E32" s="6">
        <f t="shared" si="0"/>
        <v>30000</v>
      </c>
    </row>
    <row r="33" spans="1:5" ht="13.5" thickBot="1" x14ac:dyDescent="0.25">
      <c r="A33" s="7" t="s">
        <v>153</v>
      </c>
      <c r="B33" s="8" t="s">
        <v>61</v>
      </c>
      <c r="C33" s="9" t="s">
        <v>53</v>
      </c>
      <c r="D33" s="10">
        <v>700000</v>
      </c>
      <c r="E33" s="11">
        <f t="shared" si="0"/>
        <v>23333.333333333332</v>
      </c>
    </row>
  </sheetData>
  <mergeCells count="5">
    <mergeCell ref="E1:E3"/>
    <mergeCell ref="A1:A3"/>
    <mergeCell ref="B1:B3"/>
    <mergeCell ref="C1:C3"/>
    <mergeCell ref="D1:D3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opLeftCell="M20" zoomScaleNormal="100" workbookViewId="0">
      <selection activeCell="Y60" sqref="Y60"/>
    </sheetView>
  </sheetViews>
  <sheetFormatPr baseColWidth="10" defaultRowHeight="11.25" x14ac:dyDescent="0.2"/>
  <cols>
    <col min="1" max="1" width="11.7109375" style="17" bestFit="1" customWidth="1"/>
    <col min="2" max="2" width="17.140625" style="17" bestFit="1" customWidth="1"/>
    <col min="3" max="3" width="13.140625" style="17" bestFit="1" customWidth="1"/>
    <col min="4" max="4" width="9.7109375" style="17" bestFit="1" customWidth="1"/>
    <col min="5" max="5" width="13.140625" style="17" bestFit="1" customWidth="1"/>
    <col min="6" max="6" width="10.5703125" style="17" bestFit="1" customWidth="1"/>
    <col min="7" max="7" width="8.85546875" style="17" bestFit="1" customWidth="1"/>
    <col min="8" max="8" width="12.28515625" style="17" bestFit="1" customWidth="1"/>
    <col min="9" max="9" width="9.42578125" style="17" bestFit="1" customWidth="1"/>
    <col min="10" max="10" width="12.140625" style="17" bestFit="1" customWidth="1"/>
    <col min="11" max="11" width="8.85546875" style="17" customWidth="1"/>
    <col min="12" max="12" width="12.140625" style="17" bestFit="1" customWidth="1"/>
    <col min="13" max="13" width="9.42578125" style="17" bestFit="1" customWidth="1"/>
    <col min="14" max="14" width="12.140625" style="17" bestFit="1" customWidth="1"/>
    <col min="15" max="15" width="9.140625" style="17" bestFit="1" customWidth="1"/>
    <col min="16" max="16" width="14" style="17" bestFit="1" customWidth="1"/>
    <col min="17" max="17" width="11.28515625" style="17" bestFit="1" customWidth="1"/>
    <col min="18" max="18" width="15" style="17" bestFit="1" customWidth="1"/>
    <col min="19" max="19" width="15.42578125" style="17" customWidth="1"/>
    <col min="20" max="20" width="9.7109375" style="17" bestFit="1" customWidth="1"/>
    <col min="21" max="21" width="8.7109375" style="17" customWidth="1"/>
    <col min="22" max="22" width="9.7109375" style="17" customWidth="1"/>
    <col min="23" max="23" width="10" style="17" customWidth="1"/>
    <col min="24" max="24" width="11.7109375" style="17" bestFit="1" customWidth="1"/>
    <col min="25" max="25" width="15" style="17" customWidth="1"/>
    <col min="26" max="26" width="12.28515625" style="17" customWidth="1"/>
    <col min="27" max="27" width="18.85546875" style="17" bestFit="1" customWidth="1"/>
    <col min="28" max="28" width="8" style="17" customWidth="1"/>
    <col min="29" max="16384" width="11.42578125" style="17"/>
  </cols>
  <sheetData>
    <row r="1" spans="1:26" ht="12" thickTop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/>
    </row>
    <row r="2" spans="1:26" x14ac:dyDescent="0.2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spans="1:26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ht="18" x14ac:dyDescent="0.25">
      <c r="A4" s="99" t="s">
        <v>45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20"/>
    </row>
    <row r="5" spans="1:26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0"/>
    </row>
    <row r="6" spans="1:26" x14ac:dyDescent="0.2">
      <c r="A6" s="101" t="s">
        <v>160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3" t="s">
        <v>159</v>
      </c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20"/>
    </row>
    <row r="7" spans="1:26" x14ac:dyDescent="0.2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0"/>
    </row>
    <row r="8" spans="1:26" x14ac:dyDescent="0.2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0"/>
    </row>
    <row r="9" spans="1:26" x14ac:dyDescent="0.2">
      <c r="A9" s="18">
        <v>1</v>
      </c>
      <c r="B9" s="19">
        <v>2</v>
      </c>
      <c r="C9" s="19">
        <v>3</v>
      </c>
      <c r="D9" s="18">
        <v>4</v>
      </c>
      <c r="E9" s="19">
        <v>5</v>
      </c>
      <c r="F9" s="19">
        <v>6</v>
      </c>
      <c r="G9" s="18">
        <v>7</v>
      </c>
      <c r="H9" s="19">
        <v>8</v>
      </c>
      <c r="I9" s="19">
        <v>9</v>
      </c>
      <c r="J9" s="18">
        <v>10</v>
      </c>
      <c r="K9" s="19">
        <v>11</v>
      </c>
      <c r="L9" s="19">
        <v>12</v>
      </c>
      <c r="M9" s="18">
        <v>13</v>
      </c>
      <c r="N9" s="19">
        <v>14</v>
      </c>
      <c r="O9" s="19">
        <v>15</v>
      </c>
      <c r="P9" s="18">
        <v>16</v>
      </c>
      <c r="Q9" s="19">
        <v>17</v>
      </c>
      <c r="R9" s="19">
        <v>18</v>
      </c>
      <c r="S9" s="18">
        <v>19</v>
      </c>
      <c r="T9" s="19">
        <v>20</v>
      </c>
      <c r="U9" s="19">
        <v>21</v>
      </c>
      <c r="V9" s="18">
        <v>22</v>
      </c>
      <c r="W9" s="19">
        <v>23</v>
      </c>
      <c r="X9" s="19">
        <v>24</v>
      </c>
      <c r="Y9" s="18">
        <v>25</v>
      </c>
      <c r="Z9" s="19">
        <v>26</v>
      </c>
    </row>
    <row r="10" spans="1:26" ht="13.5" customHeight="1" x14ac:dyDescent="0.2">
      <c r="A10" s="40" t="s">
        <v>158</v>
      </c>
      <c r="B10" s="40" t="s">
        <v>92</v>
      </c>
      <c r="C10" s="40" t="s">
        <v>95</v>
      </c>
      <c r="D10" s="40" t="s">
        <v>97</v>
      </c>
      <c r="E10" s="40" t="s">
        <v>100</v>
      </c>
      <c r="F10" s="40" t="s">
        <v>102</v>
      </c>
      <c r="G10" s="77" t="s">
        <v>15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5" t="s">
        <v>166</v>
      </c>
      <c r="T10" s="77" t="s">
        <v>13</v>
      </c>
      <c r="U10" s="77"/>
      <c r="V10" s="77"/>
      <c r="W10" s="77"/>
      <c r="X10" s="77"/>
      <c r="Y10" s="40" t="s">
        <v>104</v>
      </c>
      <c r="Z10" s="40" t="s">
        <v>106</v>
      </c>
    </row>
    <row r="11" spans="1:26" ht="13.5" customHeight="1" x14ac:dyDescent="0.2">
      <c r="A11" s="40" t="s">
        <v>93</v>
      </c>
      <c r="B11" s="40" t="s">
        <v>93</v>
      </c>
      <c r="C11" s="40" t="s">
        <v>96</v>
      </c>
      <c r="D11" s="40" t="s">
        <v>98</v>
      </c>
      <c r="E11" s="40"/>
      <c r="F11" s="40"/>
      <c r="G11" s="77" t="s">
        <v>4</v>
      </c>
      <c r="H11" s="77"/>
      <c r="I11" s="77"/>
      <c r="J11" s="77"/>
      <c r="K11" s="77" t="s">
        <v>5</v>
      </c>
      <c r="L11" s="77"/>
      <c r="M11" s="77"/>
      <c r="N11" s="77"/>
      <c r="O11" s="40" t="s">
        <v>104</v>
      </c>
      <c r="P11" s="40" t="s">
        <v>105</v>
      </c>
      <c r="Q11" s="40" t="s">
        <v>10</v>
      </c>
      <c r="R11" s="40" t="s">
        <v>10</v>
      </c>
      <c r="S11" s="75"/>
      <c r="T11" s="77" t="s">
        <v>9</v>
      </c>
      <c r="U11" s="77"/>
      <c r="V11" s="77"/>
      <c r="W11" s="40" t="s">
        <v>10</v>
      </c>
      <c r="X11" s="40" t="s">
        <v>10</v>
      </c>
      <c r="Y11" s="40"/>
      <c r="Z11" s="40"/>
    </row>
    <row r="12" spans="1:26" ht="22.5" x14ac:dyDescent="0.2">
      <c r="A12" s="40" t="s">
        <v>94</v>
      </c>
      <c r="B12" s="40" t="s">
        <v>94</v>
      </c>
      <c r="C12" s="40" t="s">
        <v>94</v>
      </c>
      <c r="D12" s="40" t="s">
        <v>99</v>
      </c>
      <c r="E12" s="40" t="s">
        <v>101</v>
      </c>
      <c r="F12" s="40" t="s">
        <v>103</v>
      </c>
      <c r="G12" s="41" t="s">
        <v>0</v>
      </c>
      <c r="H12" s="41" t="s">
        <v>1</v>
      </c>
      <c r="I12" s="40" t="s">
        <v>88</v>
      </c>
      <c r="J12" s="40" t="s">
        <v>87</v>
      </c>
      <c r="K12" s="41" t="s">
        <v>0</v>
      </c>
      <c r="L12" s="41" t="s">
        <v>1</v>
      </c>
      <c r="M12" s="40" t="s">
        <v>2</v>
      </c>
      <c r="N12" s="40" t="s">
        <v>3</v>
      </c>
      <c r="O12" s="40" t="s">
        <v>16</v>
      </c>
      <c r="P12" s="40" t="s">
        <v>17</v>
      </c>
      <c r="Q12" s="40" t="s">
        <v>18</v>
      </c>
      <c r="R12" s="40" t="s">
        <v>19</v>
      </c>
      <c r="S12" s="75"/>
      <c r="T12" s="41" t="s">
        <v>6</v>
      </c>
      <c r="U12" s="41" t="s">
        <v>7</v>
      </c>
      <c r="V12" s="41" t="s">
        <v>8</v>
      </c>
      <c r="W12" s="40" t="s">
        <v>11</v>
      </c>
      <c r="X12" s="40" t="s">
        <v>12</v>
      </c>
      <c r="Y12" s="40" t="s">
        <v>13</v>
      </c>
      <c r="Z12" s="40" t="s">
        <v>107</v>
      </c>
    </row>
    <row r="13" spans="1:26" x14ac:dyDescent="0.2">
      <c r="A13" s="42" t="s">
        <v>124</v>
      </c>
      <c r="B13" s="43" t="str">
        <f t="shared" ref="B13:B42" si="0">VLOOKUP(A13,BDEMPLEADOS,2,FALSE)</f>
        <v>Ospina Borja Pedro Nel</v>
      </c>
      <c r="C13" s="39" t="str">
        <f t="shared" ref="C13:C42" si="1">VLOOKUP(A13,BDEMPLEADOS,3,FALSE)</f>
        <v>Digitador</v>
      </c>
      <c r="D13" s="44">
        <v>30</v>
      </c>
      <c r="E13" s="45">
        <f t="shared" ref="E13:E42" si="2">VLOOKUP(A13,BDEMPLEADOS,5,FALSE)</f>
        <v>23333.333333333332</v>
      </c>
      <c r="F13" s="45">
        <f t="shared" ref="F13:F42" si="3">VLOOKUP(A13,BDEMPLEADOS,4,FALSE)</f>
        <v>700000</v>
      </c>
      <c r="G13" s="48">
        <f t="shared" ref="G13:G34" si="4">IF(OR(C13="Operario",C13="Operaria"),5,0)</f>
        <v>0</v>
      </c>
      <c r="H13" s="48">
        <f>IF(OR(C13="Operario",C13="Operaria"),4,0)</f>
        <v>0</v>
      </c>
      <c r="I13" s="48">
        <f>IF(OR(C13="Operario",C13="Operaria"),2,0)</f>
        <v>0</v>
      </c>
      <c r="J13" s="48">
        <f>IF(OR(C13="Operario",C13="Operaria"),1,0)</f>
        <v>0</v>
      </c>
      <c r="K13" s="46">
        <f>G13*1250</f>
        <v>0</v>
      </c>
      <c r="L13" s="46">
        <f>H13*1750</f>
        <v>0</v>
      </c>
      <c r="M13" s="46">
        <f>I13*2250</f>
        <v>0</v>
      </c>
      <c r="N13" s="46">
        <f>J13*2750</f>
        <v>0</v>
      </c>
      <c r="O13" s="46">
        <f>K13+L13+M13+N13</f>
        <v>0</v>
      </c>
      <c r="P13" s="45">
        <f>IF(F13&lt;=2*$O$46,$O$47/30*D13,0)</f>
        <v>67800</v>
      </c>
      <c r="Q13" s="45">
        <f>IF(O51&gt;=150000000,O51*0.03%,0)</f>
        <v>44999.999999999993</v>
      </c>
      <c r="R13" s="50">
        <f>IF(F13&gt;=600000,$O$51*$O$55,$O$51*$Q$55)</f>
        <v>30000</v>
      </c>
      <c r="S13" s="46">
        <f>F13+P13+O13+Q13+R13</f>
        <v>842800</v>
      </c>
      <c r="T13" s="45">
        <f>(F13+O13+Q13+R13)*$O$48</f>
        <v>31000</v>
      </c>
      <c r="U13" s="45">
        <f>(F13+O13)*$O$49</f>
        <v>23625</v>
      </c>
      <c r="V13" s="45">
        <f t="shared" ref="V13:V24" si="5">IF(S13-P13&gt;=$O$46*4,S13*1%,0)</f>
        <v>0</v>
      </c>
      <c r="W13" s="45">
        <f>IF(OR($F$13&lt;600000,600000*5%),F13*10%)</f>
        <v>70000</v>
      </c>
      <c r="X13" s="45">
        <f>IF(F13&lt;700000,700000*0.5%,F13*2%)</f>
        <v>14000</v>
      </c>
      <c r="Y13" s="46">
        <f>SUM(T13:X13)</f>
        <v>138625</v>
      </c>
      <c r="Z13" s="46">
        <f>S13-Y13</f>
        <v>704175</v>
      </c>
    </row>
    <row r="14" spans="1:26" x14ac:dyDescent="0.2">
      <c r="A14" s="42" t="s">
        <v>125</v>
      </c>
      <c r="B14" s="43" t="str">
        <f t="shared" si="0"/>
        <v>Andrés Felipe Ramírez</v>
      </c>
      <c r="C14" s="39" t="str">
        <f t="shared" si="1"/>
        <v>Vendedor</v>
      </c>
      <c r="D14" s="44">
        <v>30</v>
      </c>
      <c r="E14" s="45">
        <f t="shared" si="2"/>
        <v>20666.666666666668</v>
      </c>
      <c r="F14" s="45">
        <f t="shared" si="3"/>
        <v>620000</v>
      </c>
      <c r="G14" s="48">
        <f t="shared" si="4"/>
        <v>0</v>
      </c>
      <c r="H14" s="48">
        <f t="shared" ref="H14:H42" si="6">IF(OR(C14="Operario",C14="Operaria"),4,0)</f>
        <v>0</v>
      </c>
      <c r="I14" s="48">
        <f t="shared" ref="I14:I42" si="7">IF(OR(C14="Operario",C14="Operaria"),2,0)</f>
        <v>0</v>
      </c>
      <c r="J14" s="48">
        <f t="shared" ref="J14:J42" si="8">IF(OR(C14="Operario",C14="Operaria"),1,0)</f>
        <v>0</v>
      </c>
      <c r="K14" s="46">
        <f>G14*1250</f>
        <v>0</v>
      </c>
      <c r="L14" s="46">
        <f t="shared" ref="L14:L42" si="9">H14*1750</f>
        <v>0</v>
      </c>
      <c r="M14" s="46">
        <f t="shared" ref="M14:M42" si="10">I14*2250</f>
        <v>0</v>
      </c>
      <c r="N14" s="46">
        <f t="shared" ref="N14:N42" si="11">J14*2750</f>
        <v>0</v>
      </c>
      <c r="O14" s="46">
        <f t="shared" ref="O14:O42" si="12">K14+L14+M14+N14</f>
        <v>0</v>
      </c>
      <c r="P14" s="45">
        <f>IF(F14&lt;=2*$O$46,P23/30*D14,0)</f>
        <v>67800</v>
      </c>
      <c r="Q14" s="45">
        <f t="shared" ref="Q14:Q42" si="13">$O$51*0.03%</f>
        <v>44999.999999999993</v>
      </c>
      <c r="R14" s="50">
        <f t="shared" ref="R14:R42" si="14">IF(F14&gt;=600000,$O$51*$O$55,$O$51*$Q$55)</f>
        <v>30000</v>
      </c>
      <c r="S14" s="46">
        <f t="shared" ref="S14:S42" si="15">F14+P14+O14+Q14+R14</f>
        <v>762800</v>
      </c>
      <c r="T14" s="45">
        <f t="shared" ref="T14:T42" si="16">(F14+O14+Q14+R14)*$O$48</f>
        <v>27800</v>
      </c>
      <c r="U14" s="45">
        <f>(F14+O14)*$O$49</f>
        <v>20925</v>
      </c>
      <c r="V14" s="45">
        <f t="shared" si="5"/>
        <v>0</v>
      </c>
      <c r="W14" s="45">
        <f>IF(OR($F$13&lt;600000,600000*5%),F14*10%)</f>
        <v>62000</v>
      </c>
      <c r="X14" s="45">
        <f t="shared" ref="X14:X42" si="17">IF(F14&lt;700000,700000*0.5%,F14*2%)</f>
        <v>3500</v>
      </c>
      <c r="Y14" s="46">
        <f t="shared" ref="Y14:Y42" si="18">SUM(T14:X14)</f>
        <v>114225</v>
      </c>
      <c r="Z14" s="46">
        <f t="shared" ref="Z14:Z43" si="19">S14-Y14</f>
        <v>648575</v>
      </c>
    </row>
    <row r="15" spans="1:26" x14ac:dyDescent="0.2">
      <c r="A15" s="42" t="s">
        <v>126</v>
      </c>
      <c r="B15" s="43" t="str">
        <f t="shared" si="0"/>
        <v>Ángela María Hernández</v>
      </c>
      <c r="C15" s="39" t="str">
        <f t="shared" si="1"/>
        <v>Auxiliar Contable</v>
      </c>
      <c r="D15" s="44">
        <v>30</v>
      </c>
      <c r="E15" s="45">
        <f t="shared" si="2"/>
        <v>30000</v>
      </c>
      <c r="F15" s="45">
        <f t="shared" si="3"/>
        <v>900000</v>
      </c>
      <c r="G15" s="48">
        <f t="shared" si="4"/>
        <v>0</v>
      </c>
      <c r="H15" s="48">
        <f t="shared" si="6"/>
        <v>0</v>
      </c>
      <c r="I15" s="48">
        <f t="shared" si="7"/>
        <v>0</v>
      </c>
      <c r="J15" s="48">
        <f t="shared" si="8"/>
        <v>0</v>
      </c>
      <c r="K15" s="46">
        <f>G15*1250</f>
        <v>0</v>
      </c>
      <c r="L15" s="46">
        <f t="shared" si="9"/>
        <v>0</v>
      </c>
      <c r="M15" s="46">
        <f t="shared" si="10"/>
        <v>0</v>
      </c>
      <c r="N15" s="46">
        <f t="shared" si="11"/>
        <v>0</v>
      </c>
      <c r="O15" s="46">
        <f t="shared" si="12"/>
        <v>0</v>
      </c>
      <c r="P15" s="45">
        <f>IF(F15&lt;=2*$O$46,$O$47/30*D15,0)</f>
        <v>67800</v>
      </c>
      <c r="Q15" s="45">
        <f t="shared" si="13"/>
        <v>44999.999999999993</v>
      </c>
      <c r="R15" s="50">
        <f t="shared" si="14"/>
        <v>30000</v>
      </c>
      <c r="S15" s="46">
        <f t="shared" si="15"/>
        <v>1042800</v>
      </c>
      <c r="T15" s="45">
        <f t="shared" si="16"/>
        <v>39000</v>
      </c>
      <c r="U15" s="45">
        <f t="shared" ref="U15:U42" si="20">(F15+O15)*$O$49</f>
        <v>30375.000000000004</v>
      </c>
      <c r="V15" s="45">
        <f t="shared" si="5"/>
        <v>0</v>
      </c>
      <c r="W15" s="45">
        <f>IF(OR($F$13&lt;600000,600000*5%),F15*10%)</f>
        <v>90000</v>
      </c>
      <c r="X15" s="45">
        <f t="shared" si="17"/>
        <v>18000</v>
      </c>
      <c r="Y15" s="46">
        <f t="shared" si="18"/>
        <v>177375</v>
      </c>
      <c r="Z15" s="46">
        <f t="shared" si="19"/>
        <v>865425</v>
      </c>
    </row>
    <row r="16" spans="1:26" x14ac:dyDescent="0.2">
      <c r="A16" s="42" t="s">
        <v>127</v>
      </c>
      <c r="B16" s="43" t="str">
        <f t="shared" si="0"/>
        <v>Camilo Ceballos</v>
      </c>
      <c r="C16" s="39" t="str">
        <f t="shared" si="1"/>
        <v>Operario</v>
      </c>
      <c r="D16" s="44">
        <v>30</v>
      </c>
      <c r="E16" s="45">
        <f t="shared" si="2"/>
        <v>18890</v>
      </c>
      <c r="F16" s="45">
        <f t="shared" si="3"/>
        <v>566700</v>
      </c>
      <c r="G16" s="48">
        <f t="shared" si="4"/>
        <v>5</v>
      </c>
      <c r="H16" s="48">
        <f t="shared" si="6"/>
        <v>4</v>
      </c>
      <c r="I16" s="48">
        <f t="shared" si="7"/>
        <v>2</v>
      </c>
      <c r="J16" s="48">
        <f t="shared" si="8"/>
        <v>1</v>
      </c>
      <c r="K16" s="46">
        <f>G16*1250</f>
        <v>6250</v>
      </c>
      <c r="L16" s="46">
        <f t="shared" si="9"/>
        <v>7000</v>
      </c>
      <c r="M16" s="46">
        <f t="shared" si="10"/>
        <v>4500</v>
      </c>
      <c r="N16" s="46">
        <f t="shared" si="11"/>
        <v>2750</v>
      </c>
      <c r="O16" s="46">
        <f t="shared" si="12"/>
        <v>20500</v>
      </c>
      <c r="P16" s="45">
        <f>IF(F16&lt;=2*$O$46,P17/30*D16,0)</f>
        <v>67800</v>
      </c>
      <c r="Q16" s="45">
        <f t="shared" si="13"/>
        <v>44999.999999999993</v>
      </c>
      <c r="R16" s="50">
        <f t="shared" si="14"/>
        <v>44999.999999999993</v>
      </c>
      <c r="S16" s="46">
        <f t="shared" si="15"/>
        <v>745000</v>
      </c>
      <c r="T16" s="45">
        <f t="shared" si="16"/>
        <v>27088</v>
      </c>
      <c r="U16" s="45">
        <f t="shared" si="20"/>
        <v>19818</v>
      </c>
      <c r="V16" s="45">
        <f t="shared" si="5"/>
        <v>0</v>
      </c>
      <c r="W16" s="45">
        <f>IF(OR($F$13&lt;600000,600000*5%),F16*10%)</f>
        <v>56670</v>
      </c>
      <c r="X16" s="45">
        <f t="shared" si="17"/>
        <v>3500</v>
      </c>
      <c r="Y16" s="46">
        <f t="shared" si="18"/>
        <v>107076</v>
      </c>
      <c r="Z16" s="46">
        <f t="shared" si="19"/>
        <v>637924</v>
      </c>
    </row>
    <row r="17" spans="1:26" x14ac:dyDescent="0.2">
      <c r="A17" s="42" t="s">
        <v>128</v>
      </c>
      <c r="B17" s="43" t="str">
        <f t="shared" si="0"/>
        <v>Carlos Andrés Giraldo</v>
      </c>
      <c r="C17" s="39" t="str">
        <f t="shared" si="1"/>
        <v>Secretaria</v>
      </c>
      <c r="D17" s="44">
        <v>30</v>
      </c>
      <c r="E17" s="45">
        <f t="shared" si="2"/>
        <v>25000</v>
      </c>
      <c r="F17" s="45">
        <f t="shared" si="3"/>
        <v>750000</v>
      </c>
      <c r="G17" s="48">
        <f t="shared" si="4"/>
        <v>0</v>
      </c>
      <c r="H17" s="48">
        <f t="shared" si="6"/>
        <v>0</v>
      </c>
      <c r="I17" s="48">
        <f t="shared" si="7"/>
        <v>0</v>
      </c>
      <c r="J17" s="48">
        <f t="shared" si="8"/>
        <v>0</v>
      </c>
      <c r="K17" s="46">
        <f t="shared" ref="K17:K42" si="21">G17*1250</f>
        <v>0</v>
      </c>
      <c r="L17" s="46">
        <f t="shared" si="9"/>
        <v>0</v>
      </c>
      <c r="M17" s="46">
        <f t="shared" si="10"/>
        <v>0</v>
      </c>
      <c r="N17" s="46">
        <f t="shared" si="11"/>
        <v>0</v>
      </c>
      <c r="O17" s="46">
        <f t="shared" si="12"/>
        <v>0</v>
      </c>
      <c r="P17" s="45">
        <f>IF(F17&lt;=2*$O$46,$O$47/30*D17,0)</f>
        <v>67800</v>
      </c>
      <c r="Q17" s="45">
        <f t="shared" si="13"/>
        <v>44999.999999999993</v>
      </c>
      <c r="R17" s="50">
        <f t="shared" si="14"/>
        <v>30000</v>
      </c>
      <c r="S17" s="46">
        <f t="shared" si="15"/>
        <v>892800</v>
      </c>
      <c r="T17" s="45">
        <f t="shared" si="16"/>
        <v>33000</v>
      </c>
      <c r="U17" s="45">
        <f t="shared" si="20"/>
        <v>25312.5</v>
      </c>
      <c r="V17" s="45">
        <f t="shared" si="5"/>
        <v>0</v>
      </c>
      <c r="W17" s="45">
        <f t="shared" ref="W17:W42" si="22">IF(OR($F$13&lt;600000,600000*5%),F17*10%)</f>
        <v>75000</v>
      </c>
      <c r="X17" s="45">
        <f t="shared" si="17"/>
        <v>15000</v>
      </c>
      <c r="Y17" s="46">
        <f t="shared" si="18"/>
        <v>148312.5</v>
      </c>
      <c r="Z17" s="46">
        <f t="shared" si="19"/>
        <v>744487.5</v>
      </c>
    </row>
    <row r="18" spans="1:26" x14ac:dyDescent="0.2">
      <c r="A18" s="42" t="s">
        <v>129</v>
      </c>
      <c r="B18" s="43" t="str">
        <f t="shared" si="0"/>
        <v>Carlos Mario Quiroz</v>
      </c>
      <c r="C18" s="39" t="str">
        <f t="shared" si="1"/>
        <v>Vendedor</v>
      </c>
      <c r="D18" s="44">
        <v>30</v>
      </c>
      <c r="E18" s="45">
        <f t="shared" si="2"/>
        <v>20666.666666666668</v>
      </c>
      <c r="F18" s="45">
        <f t="shared" si="3"/>
        <v>620000</v>
      </c>
      <c r="G18" s="48">
        <f t="shared" si="4"/>
        <v>0</v>
      </c>
      <c r="H18" s="48">
        <f t="shared" si="6"/>
        <v>0</v>
      </c>
      <c r="I18" s="48">
        <f t="shared" si="7"/>
        <v>0</v>
      </c>
      <c r="J18" s="48">
        <f t="shared" si="8"/>
        <v>0</v>
      </c>
      <c r="K18" s="46">
        <f t="shared" si="21"/>
        <v>0</v>
      </c>
      <c r="L18" s="46">
        <f t="shared" si="9"/>
        <v>0</v>
      </c>
      <c r="M18" s="46">
        <f t="shared" si="10"/>
        <v>0</v>
      </c>
      <c r="N18" s="46">
        <f t="shared" si="11"/>
        <v>0</v>
      </c>
      <c r="O18" s="46">
        <f t="shared" si="12"/>
        <v>0</v>
      </c>
      <c r="P18" s="45">
        <f>IF(F18&lt;=2*$O$46,$O$47/30*D18,0)</f>
        <v>67800</v>
      </c>
      <c r="Q18" s="45">
        <f t="shared" si="13"/>
        <v>44999.999999999993</v>
      </c>
      <c r="R18" s="50">
        <f t="shared" si="14"/>
        <v>30000</v>
      </c>
      <c r="S18" s="46">
        <f t="shared" si="15"/>
        <v>762800</v>
      </c>
      <c r="T18" s="45">
        <f t="shared" si="16"/>
        <v>27800</v>
      </c>
      <c r="U18" s="45">
        <f t="shared" si="20"/>
        <v>20925</v>
      </c>
      <c r="V18" s="45">
        <f t="shared" si="5"/>
        <v>0</v>
      </c>
      <c r="W18" s="45">
        <f t="shared" si="22"/>
        <v>62000</v>
      </c>
      <c r="X18" s="45">
        <f t="shared" si="17"/>
        <v>3500</v>
      </c>
      <c r="Y18" s="46">
        <f t="shared" si="18"/>
        <v>114225</v>
      </c>
      <c r="Z18" s="46">
        <f t="shared" si="19"/>
        <v>648575</v>
      </c>
    </row>
    <row r="19" spans="1:26" x14ac:dyDescent="0.2">
      <c r="A19" s="42" t="s">
        <v>130</v>
      </c>
      <c r="B19" s="43" t="str">
        <f t="shared" si="0"/>
        <v>Carolina Rodríguez</v>
      </c>
      <c r="C19" s="39" t="str">
        <f t="shared" si="1"/>
        <v>Aseadora</v>
      </c>
      <c r="D19" s="44">
        <v>30</v>
      </c>
      <c r="E19" s="45">
        <f t="shared" si="2"/>
        <v>18890</v>
      </c>
      <c r="F19" s="45">
        <f t="shared" si="3"/>
        <v>566700</v>
      </c>
      <c r="G19" s="48">
        <f t="shared" si="4"/>
        <v>0</v>
      </c>
      <c r="H19" s="48">
        <f t="shared" si="6"/>
        <v>0</v>
      </c>
      <c r="I19" s="48">
        <f t="shared" si="7"/>
        <v>0</v>
      </c>
      <c r="J19" s="48">
        <f t="shared" si="8"/>
        <v>0</v>
      </c>
      <c r="K19" s="46">
        <f t="shared" si="21"/>
        <v>0</v>
      </c>
      <c r="L19" s="46">
        <f t="shared" si="9"/>
        <v>0</v>
      </c>
      <c r="M19" s="46">
        <f t="shared" si="10"/>
        <v>0</v>
      </c>
      <c r="N19" s="46">
        <f t="shared" si="11"/>
        <v>0</v>
      </c>
      <c r="O19" s="46">
        <f t="shared" si="12"/>
        <v>0</v>
      </c>
      <c r="P19" s="45">
        <f>IF(F19&lt;=2*$O$46,$O$47/30*D19,0)</f>
        <v>67800</v>
      </c>
      <c r="Q19" s="45">
        <f t="shared" si="13"/>
        <v>44999.999999999993</v>
      </c>
      <c r="R19" s="50">
        <f t="shared" si="14"/>
        <v>44999.999999999993</v>
      </c>
      <c r="S19" s="46">
        <f t="shared" si="15"/>
        <v>724500</v>
      </c>
      <c r="T19" s="45">
        <f t="shared" si="16"/>
        <v>26268</v>
      </c>
      <c r="U19" s="45">
        <f t="shared" si="20"/>
        <v>19126.125</v>
      </c>
      <c r="V19" s="45">
        <f t="shared" si="5"/>
        <v>0</v>
      </c>
      <c r="W19" s="45">
        <f t="shared" si="22"/>
        <v>56670</v>
      </c>
      <c r="X19" s="45">
        <f t="shared" si="17"/>
        <v>3500</v>
      </c>
      <c r="Y19" s="46">
        <f t="shared" si="18"/>
        <v>105564.125</v>
      </c>
      <c r="Z19" s="46">
        <f t="shared" si="19"/>
        <v>618935.875</v>
      </c>
    </row>
    <row r="20" spans="1:26" x14ac:dyDescent="0.2">
      <c r="A20" s="42" t="s">
        <v>131</v>
      </c>
      <c r="B20" s="43" t="str">
        <f t="shared" si="0"/>
        <v>Claudia González</v>
      </c>
      <c r="C20" s="39" t="str">
        <f t="shared" si="1"/>
        <v>Vendedor</v>
      </c>
      <c r="D20" s="44">
        <v>26</v>
      </c>
      <c r="E20" s="45">
        <f t="shared" si="2"/>
        <v>20666.666666666668</v>
      </c>
      <c r="F20" s="45">
        <f t="shared" si="3"/>
        <v>620000</v>
      </c>
      <c r="G20" s="48">
        <f t="shared" si="4"/>
        <v>0</v>
      </c>
      <c r="H20" s="48">
        <f t="shared" si="6"/>
        <v>0</v>
      </c>
      <c r="I20" s="48">
        <f t="shared" si="7"/>
        <v>0</v>
      </c>
      <c r="J20" s="48">
        <f t="shared" si="8"/>
        <v>0</v>
      </c>
      <c r="K20" s="46">
        <f t="shared" si="21"/>
        <v>0</v>
      </c>
      <c r="L20" s="46">
        <f t="shared" si="9"/>
        <v>0</v>
      </c>
      <c r="M20" s="46">
        <f t="shared" si="10"/>
        <v>0</v>
      </c>
      <c r="N20" s="46">
        <f t="shared" si="11"/>
        <v>0</v>
      </c>
      <c r="O20" s="46">
        <f t="shared" si="12"/>
        <v>0</v>
      </c>
      <c r="P20" s="45">
        <f>IF(F20&lt;=2*$O$46,$O$47/30*D20,0)</f>
        <v>58760</v>
      </c>
      <c r="Q20" s="45">
        <f t="shared" si="13"/>
        <v>44999.999999999993</v>
      </c>
      <c r="R20" s="50">
        <f t="shared" si="14"/>
        <v>30000</v>
      </c>
      <c r="S20" s="46">
        <f t="shared" si="15"/>
        <v>753760</v>
      </c>
      <c r="T20" s="45">
        <f t="shared" si="16"/>
        <v>27800</v>
      </c>
      <c r="U20" s="45">
        <f t="shared" si="20"/>
        <v>20925</v>
      </c>
      <c r="V20" s="45">
        <f t="shared" si="5"/>
        <v>0</v>
      </c>
      <c r="W20" s="45">
        <f t="shared" si="22"/>
        <v>62000</v>
      </c>
      <c r="X20" s="45">
        <f t="shared" si="17"/>
        <v>3500</v>
      </c>
      <c r="Y20" s="46">
        <f t="shared" si="18"/>
        <v>114225</v>
      </c>
      <c r="Z20" s="46">
        <f t="shared" si="19"/>
        <v>639535</v>
      </c>
    </row>
    <row r="21" spans="1:26" x14ac:dyDescent="0.2">
      <c r="A21" s="42" t="s">
        <v>132</v>
      </c>
      <c r="B21" s="43" t="str">
        <f t="shared" si="0"/>
        <v>Diana López</v>
      </c>
      <c r="C21" s="39" t="str">
        <f t="shared" si="1"/>
        <v>Secretaria</v>
      </c>
      <c r="D21" s="44">
        <v>25</v>
      </c>
      <c r="E21" s="45">
        <f t="shared" si="2"/>
        <v>25000</v>
      </c>
      <c r="F21" s="45">
        <f t="shared" si="3"/>
        <v>750000</v>
      </c>
      <c r="G21" s="48">
        <f t="shared" si="4"/>
        <v>0</v>
      </c>
      <c r="H21" s="48">
        <f t="shared" si="6"/>
        <v>0</v>
      </c>
      <c r="I21" s="48">
        <f t="shared" si="7"/>
        <v>0</v>
      </c>
      <c r="J21" s="48">
        <f t="shared" si="8"/>
        <v>0</v>
      </c>
      <c r="K21" s="46">
        <f t="shared" si="21"/>
        <v>0</v>
      </c>
      <c r="L21" s="46">
        <f t="shared" si="9"/>
        <v>0</v>
      </c>
      <c r="M21" s="46">
        <f t="shared" si="10"/>
        <v>0</v>
      </c>
      <c r="N21" s="46">
        <f t="shared" si="11"/>
        <v>0</v>
      </c>
      <c r="O21" s="46">
        <f t="shared" si="12"/>
        <v>0</v>
      </c>
      <c r="P21" s="45">
        <f>IF(F21&lt;=2*O46,O47/30*D21,0)</f>
        <v>56500</v>
      </c>
      <c r="Q21" s="45">
        <f t="shared" si="13"/>
        <v>44999.999999999993</v>
      </c>
      <c r="R21" s="50">
        <f t="shared" si="14"/>
        <v>30000</v>
      </c>
      <c r="S21" s="46">
        <f t="shared" si="15"/>
        <v>881500</v>
      </c>
      <c r="T21" s="45">
        <f t="shared" si="16"/>
        <v>33000</v>
      </c>
      <c r="U21" s="45">
        <f t="shared" si="20"/>
        <v>25312.5</v>
      </c>
      <c r="V21" s="45">
        <f t="shared" si="5"/>
        <v>0</v>
      </c>
      <c r="W21" s="45">
        <f t="shared" si="22"/>
        <v>75000</v>
      </c>
      <c r="X21" s="45">
        <f t="shared" si="17"/>
        <v>15000</v>
      </c>
      <c r="Y21" s="46">
        <f t="shared" si="18"/>
        <v>148312.5</v>
      </c>
      <c r="Z21" s="46">
        <f t="shared" si="19"/>
        <v>733187.5</v>
      </c>
    </row>
    <row r="22" spans="1:26" x14ac:dyDescent="0.2">
      <c r="A22" s="42" t="s">
        <v>133</v>
      </c>
      <c r="B22" s="43" t="str">
        <f t="shared" si="0"/>
        <v>Didier Alejandro Sánchez</v>
      </c>
      <c r="C22" s="39" t="str">
        <f t="shared" si="1"/>
        <v>Digitador</v>
      </c>
      <c r="D22" s="44">
        <v>30</v>
      </c>
      <c r="E22" s="45">
        <f t="shared" si="2"/>
        <v>23333.333333333332</v>
      </c>
      <c r="F22" s="45">
        <f t="shared" si="3"/>
        <v>700000</v>
      </c>
      <c r="G22" s="48">
        <f t="shared" si="4"/>
        <v>0</v>
      </c>
      <c r="H22" s="48">
        <f t="shared" si="6"/>
        <v>0</v>
      </c>
      <c r="I22" s="48">
        <f t="shared" si="7"/>
        <v>0</v>
      </c>
      <c r="J22" s="48">
        <f t="shared" si="8"/>
        <v>0</v>
      </c>
      <c r="K22" s="46">
        <f t="shared" si="21"/>
        <v>0</v>
      </c>
      <c r="L22" s="46">
        <f t="shared" si="9"/>
        <v>0</v>
      </c>
      <c r="M22" s="46">
        <f t="shared" si="10"/>
        <v>0</v>
      </c>
      <c r="N22" s="46">
        <f t="shared" si="11"/>
        <v>0</v>
      </c>
      <c r="O22" s="46">
        <f t="shared" si="12"/>
        <v>0</v>
      </c>
      <c r="P22" s="45">
        <f>IF(F22&lt;=2*O46,O47/30*D22,0)</f>
        <v>67800</v>
      </c>
      <c r="Q22" s="45">
        <f t="shared" si="13"/>
        <v>44999.999999999993</v>
      </c>
      <c r="R22" s="50">
        <f t="shared" si="14"/>
        <v>30000</v>
      </c>
      <c r="S22" s="46">
        <f t="shared" si="15"/>
        <v>842800</v>
      </c>
      <c r="T22" s="45">
        <f t="shared" si="16"/>
        <v>31000</v>
      </c>
      <c r="U22" s="45">
        <f t="shared" si="20"/>
        <v>23625</v>
      </c>
      <c r="V22" s="45">
        <f t="shared" si="5"/>
        <v>0</v>
      </c>
      <c r="W22" s="45">
        <f t="shared" si="22"/>
        <v>70000</v>
      </c>
      <c r="X22" s="45">
        <f t="shared" si="17"/>
        <v>14000</v>
      </c>
      <c r="Y22" s="46">
        <f t="shared" si="18"/>
        <v>138625</v>
      </c>
      <c r="Z22" s="46">
        <f t="shared" si="19"/>
        <v>704175</v>
      </c>
    </row>
    <row r="23" spans="1:26" x14ac:dyDescent="0.2">
      <c r="A23" s="42" t="s">
        <v>134</v>
      </c>
      <c r="B23" s="43" t="str">
        <f t="shared" si="0"/>
        <v>Dora Luz Montoya</v>
      </c>
      <c r="C23" s="39" t="str">
        <f t="shared" si="1"/>
        <v>Auxiliar Contable</v>
      </c>
      <c r="D23" s="44">
        <v>30</v>
      </c>
      <c r="E23" s="45">
        <f t="shared" si="2"/>
        <v>30000</v>
      </c>
      <c r="F23" s="45">
        <f t="shared" si="3"/>
        <v>900000</v>
      </c>
      <c r="G23" s="48">
        <f t="shared" si="4"/>
        <v>0</v>
      </c>
      <c r="H23" s="48">
        <f t="shared" si="6"/>
        <v>0</v>
      </c>
      <c r="I23" s="48">
        <f t="shared" si="7"/>
        <v>0</v>
      </c>
      <c r="J23" s="48">
        <f t="shared" si="8"/>
        <v>0</v>
      </c>
      <c r="K23" s="46">
        <f t="shared" si="21"/>
        <v>0</v>
      </c>
      <c r="L23" s="46">
        <f t="shared" si="9"/>
        <v>0</v>
      </c>
      <c r="M23" s="46">
        <f t="shared" si="10"/>
        <v>0</v>
      </c>
      <c r="N23" s="46">
        <f t="shared" si="11"/>
        <v>0</v>
      </c>
      <c r="O23" s="46">
        <f t="shared" si="12"/>
        <v>0</v>
      </c>
      <c r="P23" s="45">
        <f>IF(F23&lt;=2*$O$46,$O$47/30*D23,0)</f>
        <v>67800</v>
      </c>
      <c r="Q23" s="45">
        <f t="shared" si="13"/>
        <v>44999.999999999993</v>
      </c>
      <c r="R23" s="50">
        <f t="shared" si="14"/>
        <v>30000</v>
      </c>
      <c r="S23" s="46">
        <f t="shared" si="15"/>
        <v>1042800</v>
      </c>
      <c r="T23" s="45">
        <f t="shared" si="16"/>
        <v>39000</v>
      </c>
      <c r="U23" s="45">
        <f t="shared" si="20"/>
        <v>30375.000000000004</v>
      </c>
      <c r="V23" s="45">
        <f t="shared" si="5"/>
        <v>0</v>
      </c>
      <c r="W23" s="45">
        <f t="shared" si="22"/>
        <v>90000</v>
      </c>
      <c r="X23" s="45">
        <f t="shared" si="17"/>
        <v>18000</v>
      </c>
      <c r="Y23" s="46">
        <f t="shared" si="18"/>
        <v>177375</v>
      </c>
      <c r="Z23" s="46">
        <f t="shared" si="19"/>
        <v>865425</v>
      </c>
    </row>
    <row r="24" spans="1:26" x14ac:dyDescent="0.2">
      <c r="A24" s="42" t="s">
        <v>135</v>
      </c>
      <c r="B24" s="43" t="str">
        <f t="shared" si="0"/>
        <v>Doralba Galeano</v>
      </c>
      <c r="C24" s="39" t="str">
        <f t="shared" si="1"/>
        <v>Operaria</v>
      </c>
      <c r="D24" s="44">
        <v>30</v>
      </c>
      <c r="E24" s="45">
        <f t="shared" si="2"/>
        <v>18890</v>
      </c>
      <c r="F24" s="45">
        <f t="shared" si="3"/>
        <v>566700</v>
      </c>
      <c r="G24" s="48">
        <f t="shared" si="4"/>
        <v>5</v>
      </c>
      <c r="H24" s="48">
        <f t="shared" si="6"/>
        <v>4</v>
      </c>
      <c r="I24" s="48">
        <f t="shared" si="7"/>
        <v>2</v>
      </c>
      <c r="J24" s="48">
        <f t="shared" si="8"/>
        <v>1</v>
      </c>
      <c r="K24" s="46">
        <f t="shared" si="21"/>
        <v>6250</v>
      </c>
      <c r="L24" s="46">
        <f t="shared" si="9"/>
        <v>7000</v>
      </c>
      <c r="M24" s="46">
        <f t="shared" si="10"/>
        <v>4500</v>
      </c>
      <c r="N24" s="46">
        <f t="shared" si="11"/>
        <v>2750</v>
      </c>
      <c r="O24" s="46">
        <f t="shared" si="12"/>
        <v>20500</v>
      </c>
      <c r="P24" s="45">
        <f t="shared" ref="P24:P42" si="23">IF(F24&lt;=2*$O$46,$O$47/30*D24,0)</f>
        <v>67800</v>
      </c>
      <c r="Q24" s="45">
        <f t="shared" si="13"/>
        <v>44999.999999999993</v>
      </c>
      <c r="R24" s="50">
        <f t="shared" si="14"/>
        <v>44999.999999999993</v>
      </c>
      <c r="S24" s="46">
        <f t="shared" si="15"/>
        <v>745000</v>
      </c>
      <c r="T24" s="45">
        <f t="shared" si="16"/>
        <v>27088</v>
      </c>
      <c r="U24" s="45">
        <f t="shared" si="20"/>
        <v>19818</v>
      </c>
      <c r="V24" s="45">
        <f t="shared" si="5"/>
        <v>0</v>
      </c>
      <c r="W24" s="45">
        <f t="shared" si="22"/>
        <v>56670</v>
      </c>
      <c r="X24" s="45">
        <f t="shared" si="17"/>
        <v>3500</v>
      </c>
      <c r="Y24" s="46">
        <f t="shared" si="18"/>
        <v>107076</v>
      </c>
      <c r="Z24" s="46">
        <f t="shared" si="19"/>
        <v>637924</v>
      </c>
    </row>
    <row r="25" spans="1:26" x14ac:dyDescent="0.2">
      <c r="A25" s="42" t="s">
        <v>136</v>
      </c>
      <c r="B25" s="43" t="str">
        <f t="shared" si="0"/>
        <v>Eliana Marcela Aguirre</v>
      </c>
      <c r="C25" s="39" t="str">
        <f t="shared" si="1"/>
        <v>Gerente</v>
      </c>
      <c r="D25" s="44">
        <v>30</v>
      </c>
      <c r="E25" s="45">
        <f t="shared" si="2"/>
        <v>233333.33333333334</v>
      </c>
      <c r="F25" s="45">
        <f t="shared" si="3"/>
        <v>7000000</v>
      </c>
      <c r="G25" s="48">
        <f t="shared" si="4"/>
        <v>0</v>
      </c>
      <c r="H25" s="48">
        <f t="shared" si="6"/>
        <v>0</v>
      </c>
      <c r="I25" s="48">
        <f t="shared" si="7"/>
        <v>0</v>
      </c>
      <c r="J25" s="48">
        <f t="shared" si="8"/>
        <v>0</v>
      </c>
      <c r="K25" s="46">
        <f t="shared" si="21"/>
        <v>0</v>
      </c>
      <c r="L25" s="46">
        <f t="shared" si="9"/>
        <v>0</v>
      </c>
      <c r="M25" s="46">
        <f t="shared" si="10"/>
        <v>0</v>
      </c>
      <c r="N25" s="46">
        <f t="shared" si="11"/>
        <v>0</v>
      </c>
      <c r="O25" s="46">
        <f t="shared" si="12"/>
        <v>0</v>
      </c>
      <c r="P25" s="45">
        <f t="shared" si="23"/>
        <v>0</v>
      </c>
      <c r="Q25" s="45">
        <f t="shared" si="13"/>
        <v>44999.999999999993</v>
      </c>
      <c r="R25" s="50">
        <f t="shared" si="14"/>
        <v>30000</v>
      </c>
      <c r="S25" s="46">
        <f t="shared" si="15"/>
        <v>7075000</v>
      </c>
      <c r="T25" s="45">
        <f t="shared" si="16"/>
        <v>283000</v>
      </c>
      <c r="U25" s="45">
        <f t="shared" si="20"/>
        <v>236250.00000000003</v>
      </c>
      <c r="V25" s="45">
        <f>IF(S25-P25&gt;=$O$46*4,S25*1%,0)</f>
        <v>70750</v>
      </c>
      <c r="W25" s="45">
        <f t="shared" si="22"/>
        <v>700000</v>
      </c>
      <c r="X25" s="45">
        <f t="shared" si="17"/>
        <v>140000</v>
      </c>
      <c r="Y25" s="46">
        <f t="shared" si="18"/>
        <v>1430000</v>
      </c>
      <c r="Z25" s="46">
        <f t="shared" si="19"/>
        <v>5645000</v>
      </c>
    </row>
    <row r="26" spans="1:26" x14ac:dyDescent="0.2">
      <c r="A26" s="42" t="s">
        <v>137</v>
      </c>
      <c r="B26" s="43" t="str">
        <f t="shared" si="0"/>
        <v>Francy Ruby Román</v>
      </c>
      <c r="C26" s="39" t="str">
        <f t="shared" si="1"/>
        <v>Auxiliar Contable</v>
      </c>
      <c r="D26" s="44">
        <v>30</v>
      </c>
      <c r="E26" s="45">
        <f t="shared" si="2"/>
        <v>30000</v>
      </c>
      <c r="F26" s="45">
        <f t="shared" si="3"/>
        <v>900000</v>
      </c>
      <c r="G26" s="48">
        <f t="shared" si="4"/>
        <v>0</v>
      </c>
      <c r="H26" s="48">
        <f t="shared" si="6"/>
        <v>0</v>
      </c>
      <c r="I26" s="48">
        <f t="shared" si="7"/>
        <v>0</v>
      </c>
      <c r="J26" s="48">
        <f t="shared" si="8"/>
        <v>0</v>
      </c>
      <c r="K26" s="46">
        <f t="shared" si="21"/>
        <v>0</v>
      </c>
      <c r="L26" s="46">
        <f t="shared" si="9"/>
        <v>0</v>
      </c>
      <c r="M26" s="46">
        <f t="shared" si="10"/>
        <v>0</v>
      </c>
      <c r="N26" s="46">
        <f t="shared" si="11"/>
        <v>0</v>
      </c>
      <c r="O26" s="46">
        <f t="shared" si="12"/>
        <v>0</v>
      </c>
      <c r="P26" s="45">
        <f t="shared" si="23"/>
        <v>67800</v>
      </c>
      <c r="Q26" s="45">
        <f t="shared" si="13"/>
        <v>44999.999999999993</v>
      </c>
      <c r="R26" s="50">
        <f t="shared" si="14"/>
        <v>30000</v>
      </c>
      <c r="S26" s="46">
        <f t="shared" si="15"/>
        <v>1042800</v>
      </c>
      <c r="T26" s="45">
        <f t="shared" si="16"/>
        <v>39000</v>
      </c>
      <c r="U26" s="45">
        <f t="shared" si="20"/>
        <v>30375.000000000004</v>
      </c>
      <c r="V26" s="45">
        <f t="shared" ref="V26:V42" si="24">IF(S26-P26&gt;=$O$46*4,S26*1%,0)</f>
        <v>0</v>
      </c>
      <c r="W26" s="45">
        <f t="shared" si="22"/>
        <v>90000</v>
      </c>
      <c r="X26" s="45">
        <f t="shared" si="17"/>
        <v>18000</v>
      </c>
      <c r="Y26" s="46">
        <f t="shared" si="18"/>
        <v>177375</v>
      </c>
      <c r="Z26" s="46">
        <f t="shared" si="19"/>
        <v>865425</v>
      </c>
    </row>
    <row r="27" spans="1:26" x14ac:dyDescent="0.2">
      <c r="A27" s="42" t="s">
        <v>138</v>
      </c>
      <c r="B27" s="43" t="str">
        <f t="shared" si="0"/>
        <v>Hernán Darío Hernández</v>
      </c>
      <c r="C27" s="39" t="str">
        <f t="shared" si="1"/>
        <v>Vendedor</v>
      </c>
      <c r="D27" s="44">
        <v>30</v>
      </c>
      <c r="E27" s="45">
        <f t="shared" si="2"/>
        <v>20666.666666666668</v>
      </c>
      <c r="F27" s="45">
        <f t="shared" si="3"/>
        <v>620000</v>
      </c>
      <c r="G27" s="48">
        <f t="shared" si="4"/>
        <v>0</v>
      </c>
      <c r="H27" s="48">
        <f t="shared" si="6"/>
        <v>0</v>
      </c>
      <c r="I27" s="48">
        <f t="shared" si="7"/>
        <v>0</v>
      </c>
      <c r="J27" s="48">
        <f t="shared" si="8"/>
        <v>0</v>
      </c>
      <c r="K27" s="46">
        <f t="shared" si="21"/>
        <v>0</v>
      </c>
      <c r="L27" s="46">
        <f t="shared" si="9"/>
        <v>0</v>
      </c>
      <c r="M27" s="46">
        <f t="shared" si="10"/>
        <v>0</v>
      </c>
      <c r="N27" s="46">
        <f t="shared" si="11"/>
        <v>0</v>
      </c>
      <c r="O27" s="46">
        <f t="shared" si="12"/>
        <v>0</v>
      </c>
      <c r="P27" s="45">
        <f t="shared" si="23"/>
        <v>67800</v>
      </c>
      <c r="Q27" s="45">
        <f t="shared" si="13"/>
        <v>44999.999999999993</v>
      </c>
      <c r="R27" s="50">
        <f t="shared" si="14"/>
        <v>30000</v>
      </c>
      <c r="S27" s="46">
        <f t="shared" si="15"/>
        <v>762800</v>
      </c>
      <c r="T27" s="45">
        <f t="shared" si="16"/>
        <v>27800</v>
      </c>
      <c r="U27" s="45">
        <f t="shared" si="20"/>
        <v>20925</v>
      </c>
      <c r="V27" s="45">
        <f t="shared" si="24"/>
        <v>0</v>
      </c>
      <c r="W27" s="45">
        <f t="shared" si="22"/>
        <v>62000</v>
      </c>
      <c r="X27" s="45">
        <f t="shared" si="17"/>
        <v>3500</v>
      </c>
      <c r="Y27" s="46">
        <f t="shared" si="18"/>
        <v>114225</v>
      </c>
      <c r="Z27" s="46">
        <f t="shared" si="19"/>
        <v>648575</v>
      </c>
    </row>
    <row r="28" spans="1:26" x14ac:dyDescent="0.2">
      <c r="A28" s="42" t="s">
        <v>139</v>
      </c>
      <c r="B28" s="43" t="str">
        <f t="shared" si="0"/>
        <v>Leidy Maritza Herrera</v>
      </c>
      <c r="C28" s="39" t="str">
        <f t="shared" si="1"/>
        <v>Operaria</v>
      </c>
      <c r="D28" s="44">
        <v>30</v>
      </c>
      <c r="E28" s="45">
        <f t="shared" si="2"/>
        <v>18890</v>
      </c>
      <c r="F28" s="45">
        <f t="shared" si="3"/>
        <v>566700</v>
      </c>
      <c r="G28" s="48">
        <f t="shared" si="4"/>
        <v>5</v>
      </c>
      <c r="H28" s="48">
        <f t="shared" si="6"/>
        <v>4</v>
      </c>
      <c r="I28" s="48">
        <f t="shared" si="7"/>
        <v>2</v>
      </c>
      <c r="J28" s="48">
        <f t="shared" si="8"/>
        <v>1</v>
      </c>
      <c r="K28" s="46">
        <f t="shared" si="21"/>
        <v>6250</v>
      </c>
      <c r="L28" s="46">
        <f t="shared" si="9"/>
        <v>7000</v>
      </c>
      <c r="M28" s="46">
        <f t="shared" si="10"/>
        <v>4500</v>
      </c>
      <c r="N28" s="46">
        <f t="shared" si="11"/>
        <v>2750</v>
      </c>
      <c r="O28" s="46">
        <f t="shared" si="12"/>
        <v>20500</v>
      </c>
      <c r="P28" s="45">
        <f t="shared" si="23"/>
        <v>67800</v>
      </c>
      <c r="Q28" s="45">
        <f t="shared" si="13"/>
        <v>44999.999999999993</v>
      </c>
      <c r="R28" s="50">
        <f t="shared" si="14"/>
        <v>44999.999999999993</v>
      </c>
      <c r="S28" s="46">
        <f t="shared" si="15"/>
        <v>745000</v>
      </c>
      <c r="T28" s="45">
        <f t="shared" si="16"/>
        <v>27088</v>
      </c>
      <c r="U28" s="45">
        <f t="shared" si="20"/>
        <v>19818</v>
      </c>
      <c r="V28" s="45">
        <f t="shared" si="24"/>
        <v>0</v>
      </c>
      <c r="W28" s="45">
        <f t="shared" si="22"/>
        <v>56670</v>
      </c>
      <c r="X28" s="45">
        <f t="shared" si="17"/>
        <v>3500</v>
      </c>
      <c r="Y28" s="46">
        <f t="shared" si="18"/>
        <v>107076</v>
      </c>
      <c r="Z28" s="46">
        <f t="shared" si="19"/>
        <v>637924</v>
      </c>
    </row>
    <row r="29" spans="1:26" x14ac:dyDescent="0.2">
      <c r="A29" s="42" t="s">
        <v>140</v>
      </c>
      <c r="B29" s="43" t="str">
        <f t="shared" si="0"/>
        <v>Leidy Rosalía Galvis</v>
      </c>
      <c r="C29" s="39" t="str">
        <f t="shared" si="1"/>
        <v>Auxiliar Contable</v>
      </c>
      <c r="D29" s="44">
        <v>30</v>
      </c>
      <c r="E29" s="45">
        <f t="shared" si="2"/>
        <v>30000</v>
      </c>
      <c r="F29" s="45">
        <f t="shared" si="3"/>
        <v>900000</v>
      </c>
      <c r="G29" s="48">
        <f t="shared" si="4"/>
        <v>0</v>
      </c>
      <c r="H29" s="48">
        <f t="shared" si="6"/>
        <v>0</v>
      </c>
      <c r="I29" s="48">
        <f t="shared" si="7"/>
        <v>0</v>
      </c>
      <c r="J29" s="48">
        <f t="shared" si="8"/>
        <v>0</v>
      </c>
      <c r="K29" s="46">
        <f t="shared" si="21"/>
        <v>0</v>
      </c>
      <c r="L29" s="46">
        <f t="shared" si="9"/>
        <v>0</v>
      </c>
      <c r="M29" s="46">
        <f t="shared" si="10"/>
        <v>0</v>
      </c>
      <c r="N29" s="46">
        <f t="shared" si="11"/>
        <v>0</v>
      </c>
      <c r="O29" s="46">
        <f t="shared" si="12"/>
        <v>0</v>
      </c>
      <c r="P29" s="45">
        <f t="shared" si="23"/>
        <v>67800</v>
      </c>
      <c r="Q29" s="45">
        <f t="shared" si="13"/>
        <v>44999.999999999993</v>
      </c>
      <c r="R29" s="50">
        <f t="shared" si="14"/>
        <v>30000</v>
      </c>
      <c r="S29" s="46">
        <f t="shared" si="15"/>
        <v>1042800</v>
      </c>
      <c r="T29" s="45">
        <f t="shared" si="16"/>
        <v>39000</v>
      </c>
      <c r="U29" s="45">
        <f t="shared" si="20"/>
        <v>30375.000000000004</v>
      </c>
      <c r="V29" s="45">
        <f t="shared" si="24"/>
        <v>0</v>
      </c>
      <c r="W29" s="45">
        <f t="shared" si="22"/>
        <v>90000</v>
      </c>
      <c r="X29" s="45">
        <f t="shared" si="17"/>
        <v>18000</v>
      </c>
      <c r="Y29" s="46">
        <f t="shared" si="18"/>
        <v>177375</v>
      </c>
      <c r="Z29" s="46">
        <f t="shared" si="19"/>
        <v>865425</v>
      </c>
    </row>
    <row r="30" spans="1:26" x14ac:dyDescent="0.2">
      <c r="A30" s="42" t="s">
        <v>141</v>
      </c>
      <c r="B30" s="43" t="str">
        <f t="shared" si="0"/>
        <v>Luis Fernando Vanegas</v>
      </c>
      <c r="C30" s="39" t="str">
        <f t="shared" si="1"/>
        <v>Digitador</v>
      </c>
      <c r="D30" s="44">
        <v>30</v>
      </c>
      <c r="E30" s="45">
        <f t="shared" si="2"/>
        <v>23333.333333333332</v>
      </c>
      <c r="F30" s="45">
        <f t="shared" si="3"/>
        <v>700000</v>
      </c>
      <c r="G30" s="48">
        <f t="shared" si="4"/>
        <v>0</v>
      </c>
      <c r="H30" s="48">
        <f t="shared" si="6"/>
        <v>0</v>
      </c>
      <c r="I30" s="48">
        <f t="shared" si="7"/>
        <v>0</v>
      </c>
      <c r="J30" s="48">
        <f t="shared" si="8"/>
        <v>0</v>
      </c>
      <c r="K30" s="46">
        <f t="shared" si="21"/>
        <v>0</v>
      </c>
      <c r="L30" s="46">
        <f t="shared" si="9"/>
        <v>0</v>
      </c>
      <c r="M30" s="46">
        <f t="shared" si="10"/>
        <v>0</v>
      </c>
      <c r="N30" s="46">
        <f t="shared" si="11"/>
        <v>0</v>
      </c>
      <c r="O30" s="46">
        <f t="shared" si="12"/>
        <v>0</v>
      </c>
      <c r="P30" s="45">
        <f t="shared" si="23"/>
        <v>67800</v>
      </c>
      <c r="Q30" s="45">
        <f t="shared" si="13"/>
        <v>44999.999999999993</v>
      </c>
      <c r="R30" s="50">
        <f t="shared" si="14"/>
        <v>30000</v>
      </c>
      <c r="S30" s="46">
        <f t="shared" si="15"/>
        <v>842800</v>
      </c>
      <c r="T30" s="45">
        <f t="shared" si="16"/>
        <v>31000</v>
      </c>
      <c r="U30" s="45">
        <f t="shared" si="20"/>
        <v>23625</v>
      </c>
      <c r="V30" s="45">
        <f t="shared" si="24"/>
        <v>0</v>
      </c>
      <c r="W30" s="45">
        <f t="shared" si="22"/>
        <v>70000</v>
      </c>
      <c r="X30" s="45">
        <f t="shared" si="17"/>
        <v>14000</v>
      </c>
      <c r="Y30" s="46">
        <f t="shared" si="18"/>
        <v>138625</v>
      </c>
      <c r="Z30" s="46">
        <f t="shared" si="19"/>
        <v>704175</v>
      </c>
    </row>
    <row r="31" spans="1:26" x14ac:dyDescent="0.2">
      <c r="A31" s="42" t="s">
        <v>142</v>
      </c>
      <c r="B31" s="43" t="str">
        <f t="shared" si="0"/>
        <v>Liliana Ríos</v>
      </c>
      <c r="C31" s="39" t="str">
        <f t="shared" si="1"/>
        <v>Vendedor</v>
      </c>
      <c r="D31" s="44">
        <v>30</v>
      </c>
      <c r="E31" s="45">
        <f t="shared" si="2"/>
        <v>20666.666666666668</v>
      </c>
      <c r="F31" s="45">
        <f t="shared" si="3"/>
        <v>620000</v>
      </c>
      <c r="G31" s="48">
        <f t="shared" si="4"/>
        <v>0</v>
      </c>
      <c r="H31" s="48">
        <f t="shared" si="6"/>
        <v>0</v>
      </c>
      <c r="I31" s="48">
        <f t="shared" si="7"/>
        <v>0</v>
      </c>
      <c r="J31" s="48">
        <f t="shared" si="8"/>
        <v>0</v>
      </c>
      <c r="K31" s="46">
        <f t="shared" si="21"/>
        <v>0</v>
      </c>
      <c r="L31" s="46">
        <f t="shared" si="9"/>
        <v>0</v>
      </c>
      <c r="M31" s="46">
        <f t="shared" si="10"/>
        <v>0</v>
      </c>
      <c r="N31" s="46">
        <f t="shared" si="11"/>
        <v>0</v>
      </c>
      <c r="O31" s="46">
        <f t="shared" si="12"/>
        <v>0</v>
      </c>
      <c r="P31" s="45">
        <f t="shared" si="23"/>
        <v>67800</v>
      </c>
      <c r="Q31" s="45">
        <f t="shared" si="13"/>
        <v>44999.999999999993</v>
      </c>
      <c r="R31" s="50">
        <f t="shared" si="14"/>
        <v>30000</v>
      </c>
      <c r="S31" s="46">
        <f t="shared" si="15"/>
        <v>762800</v>
      </c>
      <c r="T31" s="45">
        <f t="shared" si="16"/>
        <v>27800</v>
      </c>
      <c r="U31" s="45">
        <f t="shared" si="20"/>
        <v>20925</v>
      </c>
      <c r="V31" s="45">
        <f t="shared" si="24"/>
        <v>0</v>
      </c>
      <c r="W31" s="45">
        <f t="shared" si="22"/>
        <v>62000</v>
      </c>
      <c r="X31" s="45">
        <f t="shared" si="17"/>
        <v>3500</v>
      </c>
      <c r="Y31" s="46">
        <f t="shared" si="18"/>
        <v>114225</v>
      </c>
      <c r="Z31" s="46">
        <f t="shared" si="19"/>
        <v>648575</v>
      </c>
    </row>
    <row r="32" spans="1:26" x14ac:dyDescent="0.2">
      <c r="A32" s="42" t="s">
        <v>143</v>
      </c>
      <c r="B32" s="43" t="str">
        <f t="shared" si="0"/>
        <v>Luz Enith Betancur</v>
      </c>
      <c r="C32" s="39" t="str">
        <f t="shared" si="1"/>
        <v>Auxiliar Contable</v>
      </c>
      <c r="D32" s="44">
        <v>30</v>
      </c>
      <c r="E32" s="45">
        <f t="shared" si="2"/>
        <v>30000</v>
      </c>
      <c r="F32" s="45">
        <f t="shared" si="3"/>
        <v>900000</v>
      </c>
      <c r="G32" s="48">
        <f t="shared" si="4"/>
        <v>0</v>
      </c>
      <c r="H32" s="48">
        <f t="shared" si="6"/>
        <v>0</v>
      </c>
      <c r="I32" s="48">
        <f t="shared" si="7"/>
        <v>0</v>
      </c>
      <c r="J32" s="48">
        <f t="shared" si="8"/>
        <v>0</v>
      </c>
      <c r="K32" s="46">
        <f t="shared" si="21"/>
        <v>0</v>
      </c>
      <c r="L32" s="46">
        <f t="shared" si="9"/>
        <v>0</v>
      </c>
      <c r="M32" s="46">
        <f t="shared" si="10"/>
        <v>0</v>
      </c>
      <c r="N32" s="46">
        <f t="shared" si="11"/>
        <v>0</v>
      </c>
      <c r="O32" s="46">
        <f t="shared" si="12"/>
        <v>0</v>
      </c>
      <c r="P32" s="45">
        <f t="shared" si="23"/>
        <v>67800</v>
      </c>
      <c r="Q32" s="45">
        <f t="shared" si="13"/>
        <v>44999.999999999993</v>
      </c>
      <c r="R32" s="50">
        <f t="shared" si="14"/>
        <v>30000</v>
      </c>
      <c r="S32" s="46">
        <f t="shared" si="15"/>
        <v>1042800</v>
      </c>
      <c r="T32" s="45">
        <f t="shared" si="16"/>
        <v>39000</v>
      </c>
      <c r="U32" s="45">
        <f t="shared" si="20"/>
        <v>30375.000000000004</v>
      </c>
      <c r="V32" s="45">
        <f t="shared" si="24"/>
        <v>0</v>
      </c>
      <c r="W32" s="45">
        <f t="shared" si="22"/>
        <v>90000</v>
      </c>
      <c r="X32" s="45">
        <f t="shared" si="17"/>
        <v>18000</v>
      </c>
      <c r="Y32" s="46">
        <f t="shared" si="18"/>
        <v>177375</v>
      </c>
      <c r="Z32" s="46">
        <f t="shared" si="19"/>
        <v>865425</v>
      </c>
    </row>
    <row r="33" spans="1:26" x14ac:dyDescent="0.2">
      <c r="A33" s="42" t="s">
        <v>144</v>
      </c>
      <c r="B33" s="43" t="str">
        <f t="shared" si="0"/>
        <v>Maricela López</v>
      </c>
      <c r="C33" s="39" t="str">
        <f t="shared" si="1"/>
        <v>Operaria</v>
      </c>
      <c r="D33" s="44">
        <v>30</v>
      </c>
      <c r="E33" s="45">
        <f t="shared" si="2"/>
        <v>18890</v>
      </c>
      <c r="F33" s="45">
        <f t="shared" si="3"/>
        <v>566700</v>
      </c>
      <c r="G33" s="48">
        <f t="shared" si="4"/>
        <v>5</v>
      </c>
      <c r="H33" s="48">
        <f t="shared" si="6"/>
        <v>4</v>
      </c>
      <c r="I33" s="48">
        <f t="shared" si="7"/>
        <v>2</v>
      </c>
      <c r="J33" s="48">
        <f t="shared" si="8"/>
        <v>1</v>
      </c>
      <c r="K33" s="46">
        <f t="shared" si="21"/>
        <v>6250</v>
      </c>
      <c r="L33" s="46">
        <f t="shared" si="9"/>
        <v>7000</v>
      </c>
      <c r="M33" s="46">
        <f t="shared" si="10"/>
        <v>4500</v>
      </c>
      <c r="N33" s="46">
        <f t="shared" si="11"/>
        <v>2750</v>
      </c>
      <c r="O33" s="46">
        <f t="shared" si="12"/>
        <v>20500</v>
      </c>
      <c r="P33" s="45">
        <f t="shared" si="23"/>
        <v>67800</v>
      </c>
      <c r="Q33" s="45">
        <f t="shared" si="13"/>
        <v>44999.999999999993</v>
      </c>
      <c r="R33" s="50">
        <f t="shared" si="14"/>
        <v>44999.999999999993</v>
      </c>
      <c r="S33" s="46">
        <f t="shared" si="15"/>
        <v>745000</v>
      </c>
      <c r="T33" s="45">
        <f t="shared" si="16"/>
        <v>27088</v>
      </c>
      <c r="U33" s="45">
        <f t="shared" si="20"/>
        <v>19818</v>
      </c>
      <c r="V33" s="45">
        <f t="shared" si="24"/>
        <v>0</v>
      </c>
      <c r="W33" s="45">
        <f t="shared" si="22"/>
        <v>56670</v>
      </c>
      <c r="X33" s="45">
        <f t="shared" si="17"/>
        <v>3500</v>
      </c>
      <c r="Y33" s="46">
        <f t="shared" si="18"/>
        <v>107076</v>
      </c>
      <c r="Z33" s="46">
        <f t="shared" si="19"/>
        <v>637924</v>
      </c>
    </row>
    <row r="34" spans="1:26" x14ac:dyDescent="0.2">
      <c r="A34" s="42" t="s">
        <v>145</v>
      </c>
      <c r="B34" s="43" t="str">
        <f t="shared" si="0"/>
        <v>Martha Deisy Ceballos</v>
      </c>
      <c r="C34" s="39" t="str">
        <f t="shared" si="1"/>
        <v>Digitadora</v>
      </c>
      <c r="D34" s="44">
        <v>30</v>
      </c>
      <c r="E34" s="45">
        <f t="shared" si="2"/>
        <v>23333.333333333332</v>
      </c>
      <c r="F34" s="45">
        <f t="shared" si="3"/>
        <v>700000</v>
      </c>
      <c r="G34" s="48">
        <f t="shared" si="4"/>
        <v>0</v>
      </c>
      <c r="H34" s="48">
        <f t="shared" si="6"/>
        <v>0</v>
      </c>
      <c r="I34" s="48">
        <f t="shared" si="7"/>
        <v>0</v>
      </c>
      <c r="J34" s="48">
        <f t="shared" si="8"/>
        <v>0</v>
      </c>
      <c r="K34" s="46">
        <f t="shared" si="21"/>
        <v>0</v>
      </c>
      <c r="L34" s="46">
        <f t="shared" si="9"/>
        <v>0</v>
      </c>
      <c r="M34" s="46">
        <f t="shared" si="10"/>
        <v>0</v>
      </c>
      <c r="N34" s="46">
        <f t="shared" si="11"/>
        <v>0</v>
      </c>
      <c r="O34" s="46">
        <f t="shared" si="12"/>
        <v>0</v>
      </c>
      <c r="P34" s="45">
        <f t="shared" si="23"/>
        <v>67800</v>
      </c>
      <c r="Q34" s="45">
        <f t="shared" si="13"/>
        <v>44999.999999999993</v>
      </c>
      <c r="R34" s="50">
        <f t="shared" si="14"/>
        <v>30000</v>
      </c>
      <c r="S34" s="46">
        <f t="shared" si="15"/>
        <v>842800</v>
      </c>
      <c r="T34" s="45">
        <f t="shared" si="16"/>
        <v>31000</v>
      </c>
      <c r="U34" s="45">
        <f t="shared" si="20"/>
        <v>23625</v>
      </c>
      <c r="V34" s="45">
        <f t="shared" si="24"/>
        <v>0</v>
      </c>
      <c r="W34" s="45">
        <f t="shared" si="22"/>
        <v>70000</v>
      </c>
      <c r="X34" s="45">
        <f t="shared" si="17"/>
        <v>14000</v>
      </c>
      <c r="Y34" s="46">
        <f t="shared" si="18"/>
        <v>138625</v>
      </c>
      <c r="Z34" s="46">
        <f t="shared" si="19"/>
        <v>704175</v>
      </c>
    </row>
    <row r="35" spans="1:26" x14ac:dyDescent="0.2">
      <c r="A35" s="42" t="s">
        <v>146</v>
      </c>
      <c r="B35" s="43" t="str">
        <f t="shared" si="0"/>
        <v>Mauricio Alzate</v>
      </c>
      <c r="C35" s="39" t="str">
        <f t="shared" si="1"/>
        <v>Operario</v>
      </c>
      <c r="D35" s="44">
        <v>30</v>
      </c>
      <c r="E35" s="45">
        <f t="shared" si="2"/>
        <v>18890</v>
      </c>
      <c r="F35" s="45">
        <f t="shared" si="3"/>
        <v>566700</v>
      </c>
      <c r="G35" s="48">
        <f>IF(OR(C35="Operario",C35="Operaria"),5,0)</f>
        <v>5</v>
      </c>
      <c r="H35" s="48">
        <f t="shared" si="6"/>
        <v>4</v>
      </c>
      <c r="I35" s="48">
        <f t="shared" si="7"/>
        <v>2</v>
      </c>
      <c r="J35" s="48">
        <f t="shared" si="8"/>
        <v>1</v>
      </c>
      <c r="K35" s="46">
        <f t="shared" si="21"/>
        <v>6250</v>
      </c>
      <c r="L35" s="46">
        <f t="shared" si="9"/>
        <v>7000</v>
      </c>
      <c r="M35" s="46">
        <f t="shared" si="10"/>
        <v>4500</v>
      </c>
      <c r="N35" s="46">
        <f t="shared" si="11"/>
        <v>2750</v>
      </c>
      <c r="O35" s="46">
        <f t="shared" si="12"/>
        <v>20500</v>
      </c>
      <c r="P35" s="45">
        <f t="shared" si="23"/>
        <v>67800</v>
      </c>
      <c r="Q35" s="45">
        <f t="shared" si="13"/>
        <v>44999.999999999993</v>
      </c>
      <c r="R35" s="50">
        <f t="shared" si="14"/>
        <v>44999.999999999993</v>
      </c>
      <c r="S35" s="46">
        <f t="shared" si="15"/>
        <v>745000</v>
      </c>
      <c r="T35" s="45">
        <f t="shared" si="16"/>
        <v>27088</v>
      </c>
      <c r="U35" s="45">
        <f t="shared" si="20"/>
        <v>19818</v>
      </c>
      <c r="V35" s="45">
        <f t="shared" si="24"/>
        <v>0</v>
      </c>
      <c r="W35" s="45">
        <f t="shared" si="22"/>
        <v>56670</v>
      </c>
      <c r="X35" s="45">
        <f t="shared" si="17"/>
        <v>3500</v>
      </c>
      <c r="Y35" s="46">
        <f t="shared" si="18"/>
        <v>107076</v>
      </c>
      <c r="Z35" s="46">
        <f t="shared" si="19"/>
        <v>637924</v>
      </c>
    </row>
    <row r="36" spans="1:26" x14ac:dyDescent="0.2">
      <c r="A36" s="42" t="s">
        <v>147</v>
      </c>
      <c r="B36" s="43" t="str">
        <f t="shared" si="0"/>
        <v>Mónica Yurany Giraldo</v>
      </c>
      <c r="C36" s="39" t="str">
        <f t="shared" si="1"/>
        <v>Secretaria</v>
      </c>
      <c r="D36" s="44">
        <v>30</v>
      </c>
      <c r="E36" s="45">
        <f t="shared" si="2"/>
        <v>25000</v>
      </c>
      <c r="F36" s="45">
        <f t="shared" si="3"/>
        <v>750000</v>
      </c>
      <c r="G36" s="48">
        <f t="shared" ref="G36:G42" si="25">IF(OR(C36="Operario",C36="Operaria"),5,0)</f>
        <v>0</v>
      </c>
      <c r="H36" s="48">
        <f t="shared" si="6"/>
        <v>0</v>
      </c>
      <c r="I36" s="48">
        <f t="shared" si="7"/>
        <v>0</v>
      </c>
      <c r="J36" s="48">
        <f t="shared" si="8"/>
        <v>0</v>
      </c>
      <c r="K36" s="46">
        <f t="shared" si="21"/>
        <v>0</v>
      </c>
      <c r="L36" s="46">
        <f t="shared" si="9"/>
        <v>0</v>
      </c>
      <c r="M36" s="46">
        <f t="shared" si="10"/>
        <v>0</v>
      </c>
      <c r="N36" s="46">
        <f t="shared" si="11"/>
        <v>0</v>
      </c>
      <c r="O36" s="46">
        <f t="shared" si="12"/>
        <v>0</v>
      </c>
      <c r="P36" s="45">
        <f t="shared" si="23"/>
        <v>67800</v>
      </c>
      <c r="Q36" s="45">
        <f t="shared" si="13"/>
        <v>44999.999999999993</v>
      </c>
      <c r="R36" s="50">
        <f t="shared" si="14"/>
        <v>30000</v>
      </c>
      <c r="S36" s="46">
        <f t="shared" si="15"/>
        <v>892800</v>
      </c>
      <c r="T36" s="45">
        <f t="shared" si="16"/>
        <v>33000</v>
      </c>
      <c r="U36" s="45">
        <f t="shared" si="20"/>
        <v>25312.5</v>
      </c>
      <c r="V36" s="45">
        <f t="shared" si="24"/>
        <v>0</v>
      </c>
      <c r="W36" s="45">
        <f t="shared" si="22"/>
        <v>75000</v>
      </c>
      <c r="X36" s="45">
        <f t="shared" si="17"/>
        <v>15000</v>
      </c>
      <c r="Y36" s="46">
        <f t="shared" si="18"/>
        <v>148312.5</v>
      </c>
      <c r="Z36" s="46">
        <f t="shared" si="19"/>
        <v>744487.5</v>
      </c>
    </row>
    <row r="37" spans="1:26" x14ac:dyDescent="0.2">
      <c r="A37" s="42" t="s">
        <v>148</v>
      </c>
      <c r="B37" s="43" t="str">
        <f t="shared" si="0"/>
        <v>Nayibet Galvis</v>
      </c>
      <c r="C37" s="39" t="str">
        <f t="shared" si="1"/>
        <v>Operaria</v>
      </c>
      <c r="D37" s="44">
        <v>30</v>
      </c>
      <c r="E37" s="45">
        <f t="shared" si="2"/>
        <v>18890</v>
      </c>
      <c r="F37" s="45">
        <f t="shared" si="3"/>
        <v>566700</v>
      </c>
      <c r="G37" s="48">
        <f t="shared" si="25"/>
        <v>5</v>
      </c>
      <c r="H37" s="48">
        <f t="shared" si="6"/>
        <v>4</v>
      </c>
      <c r="I37" s="48">
        <f t="shared" si="7"/>
        <v>2</v>
      </c>
      <c r="J37" s="48">
        <f t="shared" si="8"/>
        <v>1</v>
      </c>
      <c r="K37" s="46">
        <f t="shared" si="21"/>
        <v>6250</v>
      </c>
      <c r="L37" s="46">
        <f t="shared" si="9"/>
        <v>7000</v>
      </c>
      <c r="M37" s="46">
        <f t="shared" si="10"/>
        <v>4500</v>
      </c>
      <c r="N37" s="46">
        <f t="shared" si="11"/>
        <v>2750</v>
      </c>
      <c r="O37" s="46">
        <f t="shared" si="12"/>
        <v>20500</v>
      </c>
      <c r="P37" s="45">
        <f t="shared" si="23"/>
        <v>67800</v>
      </c>
      <c r="Q37" s="45">
        <f t="shared" si="13"/>
        <v>44999.999999999993</v>
      </c>
      <c r="R37" s="50">
        <f t="shared" si="14"/>
        <v>44999.999999999993</v>
      </c>
      <c r="S37" s="46">
        <f t="shared" si="15"/>
        <v>745000</v>
      </c>
      <c r="T37" s="45">
        <f t="shared" si="16"/>
        <v>27088</v>
      </c>
      <c r="U37" s="45">
        <f t="shared" si="20"/>
        <v>19818</v>
      </c>
      <c r="V37" s="45">
        <f t="shared" si="24"/>
        <v>0</v>
      </c>
      <c r="W37" s="45">
        <f t="shared" si="22"/>
        <v>56670</v>
      </c>
      <c r="X37" s="45">
        <f t="shared" si="17"/>
        <v>3500</v>
      </c>
      <c r="Y37" s="46">
        <f t="shared" si="18"/>
        <v>107076</v>
      </c>
      <c r="Z37" s="46">
        <f t="shared" si="19"/>
        <v>637924</v>
      </c>
    </row>
    <row r="38" spans="1:26" x14ac:dyDescent="0.2">
      <c r="A38" s="42" t="s">
        <v>149</v>
      </c>
      <c r="B38" s="43" t="str">
        <f t="shared" si="0"/>
        <v>Patricia Rodriguez</v>
      </c>
      <c r="C38" s="39" t="str">
        <f t="shared" si="1"/>
        <v>Operaria</v>
      </c>
      <c r="D38" s="44">
        <v>30</v>
      </c>
      <c r="E38" s="45">
        <f t="shared" si="2"/>
        <v>18890</v>
      </c>
      <c r="F38" s="45">
        <f t="shared" si="3"/>
        <v>566700</v>
      </c>
      <c r="G38" s="48">
        <f t="shared" si="25"/>
        <v>5</v>
      </c>
      <c r="H38" s="48">
        <f t="shared" si="6"/>
        <v>4</v>
      </c>
      <c r="I38" s="48">
        <f t="shared" si="7"/>
        <v>2</v>
      </c>
      <c r="J38" s="48">
        <f t="shared" si="8"/>
        <v>1</v>
      </c>
      <c r="K38" s="46">
        <f t="shared" si="21"/>
        <v>6250</v>
      </c>
      <c r="L38" s="46">
        <f t="shared" si="9"/>
        <v>7000</v>
      </c>
      <c r="M38" s="46">
        <f t="shared" si="10"/>
        <v>4500</v>
      </c>
      <c r="N38" s="46">
        <f t="shared" si="11"/>
        <v>2750</v>
      </c>
      <c r="O38" s="46">
        <f t="shared" si="12"/>
        <v>20500</v>
      </c>
      <c r="P38" s="45">
        <f t="shared" si="23"/>
        <v>67800</v>
      </c>
      <c r="Q38" s="45">
        <f t="shared" si="13"/>
        <v>44999.999999999993</v>
      </c>
      <c r="R38" s="50">
        <f t="shared" si="14"/>
        <v>44999.999999999993</v>
      </c>
      <c r="S38" s="46">
        <f t="shared" si="15"/>
        <v>745000</v>
      </c>
      <c r="T38" s="45">
        <f t="shared" si="16"/>
        <v>27088</v>
      </c>
      <c r="U38" s="45">
        <f t="shared" si="20"/>
        <v>19818</v>
      </c>
      <c r="V38" s="45">
        <f t="shared" si="24"/>
        <v>0</v>
      </c>
      <c r="W38" s="45">
        <f t="shared" si="22"/>
        <v>56670</v>
      </c>
      <c r="X38" s="45">
        <f t="shared" si="17"/>
        <v>3500</v>
      </c>
      <c r="Y38" s="46">
        <f t="shared" si="18"/>
        <v>107076</v>
      </c>
      <c r="Z38" s="46">
        <f t="shared" si="19"/>
        <v>637924</v>
      </c>
    </row>
    <row r="39" spans="1:26" x14ac:dyDescent="0.2">
      <c r="A39" s="42" t="s">
        <v>150</v>
      </c>
      <c r="B39" s="43" t="str">
        <f t="shared" si="0"/>
        <v>Sandra Marcela Rojas</v>
      </c>
      <c r="C39" s="39" t="str">
        <f t="shared" si="1"/>
        <v>Operaria</v>
      </c>
      <c r="D39" s="44">
        <v>30</v>
      </c>
      <c r="E39" s="45">
        <f t="shared" si="2"/>
        <v>18890</v>
      </c>
      <c r="F39" s="45">
        <f t="shared" si="3"/>
        <v>566700</v>
      </c>
      <c r="G39" s="48">
        <f t="shared" si="25"/>
        <v>5</v>
      </c>
      <c r="H39" s="48">
        <f t="shared" si="6"/>
        <v>4</v>
      </c>
      <c r="I39" s="48">
        <f t="shared" si="7"/>
        <v>2</v>
      </c>
      <c r="J39" s="48">
        <f t="shared" si="8"/>
        <v>1</v>
      </c>
      <c r="K39" s="46">
        <f t="shared" si="21"/>
        <v>6250</v>
      </c>
      <c r="L39" s="46">
        <f t="shared" si="9"/>
        <v>7000</v>
      </c>
      <c r="M39" s="46">
        <f t="shared" si="10"/>
        <v>4500</v>
      </c>
      <c r="N39" s="46">
        <f t="shared" si="11"/>
        <v>2750</v>
      </c>
      <c r="O39" s="46">
        <f t="shared" si="12"/>
        <v>20500</v>
      </c>
      <c r="P39" s="45">
        <f t="shared" si="23"/>
        <v>67800</v>
      </c>
      <c r="Q39" s="45">
        <f t="shared" si="13"/>
        <v>44999.999999999993</v>
      </c>
      <c r="R39" s="50">
        <f t="shared" si="14"/>
        <v>44999.999999999993</v>
      </c>
      <c r="S39" s="46">
        <f t="shared" si="15"/>
        <v>745000</v>
      </c>
      <c r="T39" s="45">
        <f t="shared" si="16"/>
        <v>27088</v>
      </c>
      <c r="U39" s="45">
        <f t="shared" si="20"/>
        <v>19818</v>
      </c>
      <c r="V39" s="45">
        <f t="shared" si="24"/>
        <v>0</v>
      </c>
      <c r="W39" s="45">
        <f t="shared" si="22"/>
        <v>56670</v>
      </c>
      <c r="X39" s="45">
        <f t="shared" si="17"/>
        <v>3500</v>
      </c>
      <c r="Y39" s="46">
        <f t="shared" si="18"/>
        <v>107076</v>
      </c>
      <c r="Z39" s="46">
        <f t="shared" si="19"/>
        <v>637924</v>
      </c>
    </row>
    <row r="40" spans="1:26" x14ac:dyDescent="0.2">
      <c r="A40" s="42" t="s">
        <v>151</v>
      </c>
      <c r="B40" s="43" t="str">
        <f t="shared" si="0"/>
        <v>Yeisón Fernando García</v>
      </c>
      <c r="C40" s="39" t="str">
        <f t="shared" si="1"/>
        <v>Auxiliar Contable</v>
      </c>
      <c r="D40" s="44">
        <v>30</v>
      </c>
      <c r="E40" s="45">
        <f t="shared" si="2"/>
        <v>30000</v>
      </c>
      <c r="F40" s="45">
        <f t="shared" si="3"/>
        <v>900000</v>
      </c>
      <c r="G40" s="48">
        <f t="shared" si="25"/>
        <v>0</v>
      </c>
      <c r="H40" s="48">
        <f t="shared" si="6"/>
        <v>0</v>
      </c>
      <c r="I40" s="48">
        <f t="shared" si="7"/>
        <v>0</v>
      </c>
      <c r="J40" s="48">
        <f t="shared" si="8"/>
        <v>0</v>
      </c>
      <c r="K40" s="46">
        <f t="shared" si="21"/>
        <v>0</v>
      </c>
      <c r="L40" s="46">
        <f t="shared" si="9"/>
        <v>0</v>
      </c>
      <c r="M40" s="46">
        <f t="shared" si="10"/>
        <v>0</v>
      </c>
      <c r="N40" s="46">
        <f t="shared" si="11"/>
        <v>0</v>
      </c>
      <c r="O40" s="46">
        <f t="shared" si="12"/>
        <v>0</v>
      </c>
      <c r="P40" s="45">
        <f t="shared" si="23"/>
        <v>67800</v>
      </c>
      <c r="Q40" s="45">
        <f t="shared" si="13"/>
        <v>44999.999999999993</v>
      </c>
      <c r="R40" s="50">
        <f t="shared" si="14"/>
        <v>30000</v>
      </c>
      <c r="S40" s="46">
        <f t="shared" si="15"/>
        <v>1042800</v>
      </c>
      <c r="T40" s="45">
        <f t="shared" si="16"/>
        <v>39000</v>
      </c>
      <c r="U40" s="45">
        <f t="shared" si="20"/>
        <v>30375.000000000004</v>
      </c>
      <c r="V40" s="45">
        <f t="shared" si="24"/>
        <v>0</v>
      </c>
      <c r="W40" s="45">
        <f t="shared" si="22"/>
        <v>90000</v>
      </c>
      <c r="X40" s="45">
        <f t="shared" si="17"/>
        <v>18000</v>
      </c>
      <c r="Y40" s="46">
        <f t="shared" si="18"/>
        <v>177375</v>
      </c>
      <c r="Z40" s="46">
        <f t="shared" si="19"/>
        <v>865425</v>
      </c>
    </row>
    <row r="41" spans="1:26" x14ac:dyDescent="0.2">
      <c r="A41" s="42" t="s">
        <v>152</v>
      </c>
      <c r="B41" s="43" t="str">
        <f t="shared" si="0"/>
        <v>Yohiner Tangarife</v>
      </c>
      <c r="C41" s="39" t="str">
        <f t="shared" si="1"/>
        <v>Auxiliar Contable</v>
      </c>
      <c r="D41" s="44">
        <v>30</v>
      </c>
      <c r="E41" s="45">
        <f t="shared" si="2"/>
        <v>30000</v>
      </c>
      <c r="F41" s="45">
        <f t="shared" si="3"/>
        <v>900000</v>
      </c>
      <c r="G41" s="48">
        <f t="shared" si="25"/>
        <v>0</v>
      </c>
      <c r="H41" s="48">
        <f t="shared" si="6"/>
        <v>0</v>
      </c>
      <c r="I41" s="48">
        <f t="shared" si="7"/>
        <v>0</v>
      </c>
      <c r="J41" s="48">
        <f t="shared" si="8"/>
        <v>0</v>
      </c>
      <c r="K41" s="46">
        <f t="shared" si="21"/>
        <v>0</v>
      </c>
      <c r="L41" s="46">
        <f t="shared" si="9"/>
        <v>0</v>
      </c>
      <c r="M41" s="46">
        <f t="shared" si="10"/>
        <v>0</v>
      </c>
      <c r="N41" s="46">
        <f t="shared" si="11"/>
        <v>0</v>
      </c>
      <c r="O41" s="46">
        <f t="shared" si="12"/>
        <v>0</v>
      </c>
      <c r="P41" s="45">
        <f t="shared" si="23"/>
        <v>67800</v>
      </c>
      <c r="Q41" s="45">
        <f t="shared" si="13"/>
        <v>44999.999999999993</v>
      </c>
      <c r="R41" s="50">
        <f t="shared" si="14"/>
        <v>30000</v>
      </c>
      <c r="S41" s="46">
        <f t="shared" si="15"/>
        <v>1042800</v>
      </c>
      <c r="T41" s="45">
        <f t="shared" si="16"/>
        <v>39000</v>
      </c>
      <c r="U41" s="45">
        <f t="shared" si="20"/>
        <v>30375.000000000004</v>
      </c>
      <c r="V41" s="45">
        <f t="shared" si="24"/>
        <v>0</v>
      </c>
      <c r="W41" s="45">
        <f t="shared" si="22"/>
        <v>90000</v>
      </c>
      <c r="X41" s="45">
        <f t="shared" si="17"/>
        <v>18000</v>
      </c>
      <c r="Y41" s="46">
        <f t="shared" si="18"/>
        <v>177375</v>
      </c>
      <c r="Z41" s="46">
        <f t="shared" si="19"/>
        <v>865425</v>
      </c>
    </row>
    <row r="42" spans="1:26" x14ac:dyDescent="0.2">
      <c r="A42" s="42" t="s">
        <v>153</v>
      </c>
      <c r="B42" s="43" t="str">
        <f t="shared" si="0"/>
        <v>Yuliana Cardona</v>
      </c>
      <c r="C42" s="39" t="str">
        <f t="shared" si="1"/>
        <v>Digitadora</v>
      </c>
      <c r="D42" s="44">
        <v>30</v>
      </c>
      <c r="E42" s="45">
        <f t="shared" si="2"/>
        <v>23333.333333333332</v>
      </c>
      <c r="F42" s="45">
        <f t="shared" si="3"/>
        <v>700000</v>
      </c>
      <c r="G42" s="48">
        <f t="shared" si="25"/>
        <v>0</v>
      </c>
      <c r="H42" s="48">
        <f t="shared" si="6"/>
        <v>0</v>
      </c>
      <c r="I42" s="48">
        <f t="shared" si="7"/>
        <v>0</v>
      </c>
      <c r="J42" s="48">
        <f t="shared" si="8"/>
        <v>0</v>
      </c>
      <c r="K42" s="46">
        <f t="shared" si="21"/>
        <v>0</v>
      </c>
      <c r="L42" s="46">
        <f t="shared" si="9"/>
        <v>0</v>
      </c>
      <c r="M42" s="46">
        <f t="shared" si="10"/>
        <v>0</v>
      </c>
      <c r="N42" s="46">
        <f t="shared" si="11"/>
        <v>0</v>
      </c>
      <c r="O42" s="46">
        <f t="shared" si="12"/>
        <v>0</v>
      </c>
      <c r="P42" s="45">
        <f t="shared" si="23"/>
        <v>67800</v>
      </c>
      <c r="Q42" s="45">
        <f t="shared" si="13"/>
        <v>44999.999999999993</v>
      </c>
      <c r="R42" s="50">
        <f t="shared" si="14"/>
        <v>30000</v>
      </c>
      <c r="S42" s="46">
        <f t="shared" si="15"/>
        <v>842800</v>
      </c>
      <c r="T42" s="45">
        <f t="shared" si="16"/>
        <v>31000</v>
      </c>
      <c r="U42" s="45">
        <f t="shared" si="20"/>
        <v>23625</v>
      </c>
      <c r="V42" s="45">
        <f t="shared" si="24"/>
        <v>0</v>
      </c>
      <c r="W42" s="45">
        <f t="shared" si="22"/>
        <v>70000</v>
      </c>
      <c r="X42" s="45">
        <f t="shared" si="17"/>
        <v>14000</v>
      </c>
      <c r="Y42" s="46">
        <f t="shared" si="18"/>
        <v>138625</v>
      </c>
      <c r="Z42" s="46">
        <f t="shared" si="19"/>
        <v>704175</v>
      </c>
    </row>
    <row r="43" spans="1:26" x14ac:dyDescent="0.2">
      <c r="A43" s="42"/>
      <c r="B43" s="43"/>
      <c r="C43" s="39" t="str">
        <f>IF(A43="","",VLOOKUP(A43,'BD EMPLEADOS'!A31:E63,3,FALSE))</f>
        <v/>
      </c>
      <c r="D43" s="44"/>
      <c r="E43" s="45" t="str">
        <f>+IF(A43="","",VLOOKUP(A43,'BD EMPLEADOS'!A31:E63,5,FALSE))</f>
        <v/>
      </c>
      <c r="F43" s="45" t="str">
        <f>+IF(A43="","",E43*D43)</f>
        <v/>
      </c>
      <c r="G43" s="44" t="str">
        <f>+IF(C43="Operario",5,"")</f>
        <v/>
      </c>
      <c r="H43" s="44" t="str">
        <f>+IF(C43="Operario",4,"")</f>
        <v/>
      </c>
      <c r="I43" s="44" t="str">
        <f>+IF(C43="Operario",2,"")</f>
        <v/>
      </c>
      <c r="J43" s="44" t="str">
        <f>+IF(C43="operario",1,"")</f>
        <v/>
      </c>
      <c r="K43" s="46" t="str">
        <f>+IF(C43="Operario",G43*(E43/8)*$T$47,"")</f>
        <v/>
      </c>
      <c r="L43" s="46" t="str">
        <f>+IF(C43="Operario",H43*(E43/8)*$T$48,"")</f>
        <v/>
      </c>
      <c r="M43" s="46" t="str">
        <f>+IF(C43="Operario",I43*(E43/8)*$T$49,"")</f>
        <v/>
      </c>
      <c r="N43" s="46" t="str">
        <f>+IF(C43="Operario",J43*(E43/8)*$T$50,"")</f>
        <v/>
      </c>
      <c r="O43" s="46"/>
      <c r="P43" s="51">
        <f>SUM(P13:P42)</f>
        <v>1945860</v>
      </c>
      <c r="Q43" s="51"/>
      <c r="R43" s="51" t="str">
        <f>+IF(C43="Vendedor",$O$51*$O$52,"")</f>
        <v/>
      </c>
      <c r="S43" s="52">
        <f>SUM(S13:S42)</f>
        <v>31745160</v>
      </c>
      <c r="T43" s="45"/>
      <c r="U43" s="45"/>
      <c r="V43" s="45"/>
      <c r="W43" s="45"/>
      <c r="X43" s="45"/>
      <c r="Y43" s="52">
        <f>SUM(Y13:Y42)</f>
        <v>5342984.625</v>
      </c>
      <c r="Z43" s="46">
        <f t="shared" si="19"/>
        <v>26402175.375</v>
      </c>
    </row>
    <row r="44" spans="1:26" ht="13.5" customHeight="1" thickBot="1" x14ac:dyDescent="0.25">
      <c r="A44" s="80" t="s">
        <v>14</v>
      </c>
      <c r="B44" s="81"/>
      <c r="C44" s="81"/>
      <c r="D44" s="81"/>
      <c r="E44" s="81"/>
      <c r="F44" s="81"/>
      <c r="G44" s="81"/>
      <c r="H44" s="82"/>
      <c r="I44" s="92" t="s">
        <v>22</v>
      </c>
      <c r="J44" s="92"/>
      <c r="K44" s="47" t="s">
        <v>27</v>
      </c>
      <c r="L44" s="47" t="s">
        <v>10</v>
      </c>
      <c r="M44" s="122" t="s">
        <v>89</v>
      </c>
      <c r="N44" s="123"/>
      <c r="O44" s="123"/>
      <c r="P44" s="123"/>
      <c r="Q44" s="123"/>
      <c r="R44" s="124"/>
      <c r="S44" s="18"/>
      <c r="T44" s="20"/>
      <c r="U44" s="18" t="s">
        <v>37</v>
      </c>
      <c r="V44" s="19"/>
      <c r="W44" s="19"/>
      <c r="X44" s="19"/>
      <c r="Y44" s="19"/>
      <c r="Z44" s="20"/>
    </row>
    <row r="45" spans="1:26" ht="12.75" thickTop="1" thickBot="1" x14ac:dyDescent="0.25">
      <c r="A45" s="86" t="s">
        <v>15</v>
      </c>
      <c r="B45" s="87"/>
      <c r="C45" s="87"/>
      <c r="D45" s="87"/>
      <c r="E45" s="88"/>
      <c r="F45" s="83" t="s">
        <v>13</v>
      </c>
      <c r="G45" s="84"/>
      <c r="H45" s="85"/>
      <c r="I45" s="76" t="s">
        <v>6</v>
      </c>
      <c r="J45" s="76"/>
      <c r="K45" s="30">
        <v>0.08</v>
      </c>
      <c r="L45" s="31">
        <f>SUM(T13:T42)*K45</f>
        <v>95357.759999999995</v>
      </c>
      <c r="M45" s="125"/>
      <c r="N45" s="126"/>
      <c r="O45" s="126"/>
      <c r="P45" s="126"/>
      <c r="Q45" s="126"/>
      <c r="R45" s="127"/>
      <c r="S45" s="26"/>
      <c r="T45" s="28"/>
      <c r="U45" s="18"/>
      <c r="V45" s="19"/>
      <c r="W45" s="19"/>
      <c r="X45" s="19"/>
      <c r="Y45" s="19"/>
      <c r="Z45" s="20"/>
    </row>
    <row r="46" spans="1:26" ht="12.75" thickTop="1" thickBot="1" x14ac:dyDescent="0.25">
      <c r="A46" s="89"/>
      <c r="B46" s="90"/>
      <c r="C46" s="90"/>
      <c r="D46" s="90"/>
      <c r="E46" s="91"/>
      <c r="F46" s="76" t="s">
        <v>6</v>
      </c>
      <c r="G46" s="76"/>
      <c r="H46" s="32">
        <f>SUM(T13:T42)</f>
        <v>1191972</v>
      </c>
      <c r="I46" s="76" t="s">
        <v>7</v>
      </c>
      <c r="J46" s="76"/>
      <c r="K46" s="33">
        <v>0.10125000000000001</v>
      </c>
      <c r="L46" s="31">
        <f>SUM(U13:U42)*K46</f>
        <v>93679.803281250002</v>
      </c>
      <c r="M46" s="76" t="s">
        <v>28</v>
      </c>
      <c r="N46" s="76"/>
      <c r="O46" s="53">
        <v>566700</v>
      </c>
      <c r="P46" s="54"/>
      <c r="Q46" s="54"/>
      <c r="R46" s="55"/>
      <c r="S46" s="78" t="s">
        <v>81</v>
      </c>
      <c r="T46" s="79"/>
      <c r="U46" s="18"/>
      <c r="V46" s="19"/>
      <c r="W46" s="19"/>
      <c r="X46" s="19"/>
      <c r="Y46" s="19"/>
      <c r="Z46" s="20"/>
    </row>
    <row r="47" spans="1:26" ht="12.75" thickTop="1" thickBot="1" x14ac:dyDescent="0.25">
      <c r="A47" s="94" t="s">
        <v>38</v>
      </c>
      <c r="B47" s="95"/>
      <c r="C47" s="95"/>
      <c r="D47" s="96"/>
      <c r="E47" s="34">
        <f>SUM(F13:F42)</f>
        <v>27250300</v>
      </c>
      <c r="F47" s="76" t="s">
        <v>20</v>
      </c>
      <c r="G47" s="76"/>
      <c r="H47" s="32">
        <f>SUM(U13:U42)</f>
        <v>925232.625</v>
      </c>
      <c r="I47" s="76" t="s">
        <v>21</v>
      </c>
      <c r="J47" s="76"/>
      <c r="K47" s="35">
        <v>8.3400000000000002E-2</v>
      </c>
      <c r="L47" s="31">
        <f>SUM(S13:S42)*K47</f>
        <v>2647546.344</v>
      </c>
      <c r="M47" s="76" t="s">
        <v>17</v>
      </c>
      <c r="N47" s="76"/>
      <c r="O47" s="104">
        <v>67800</v>
      </c>
      <c r="P47" s="104"/>
      <c r="Q47" s="104"/>
      <c r="R47" s="104"/>
      <c r="S47" s="36" t="s">
        <v>82</v>
      </c>
      <c r="T47" s="29">
        <v>1.25</v>
      </c>
      <c r="U47" s="18"/>
      <c r="V47" s="19"/>
      <c r="W47" s="19"/>
      <c r="X47" s="19"/>
      <c r="Y47" s="19"/>
      <c r="Z47" s="20"/>
    </row>
    <row r="48" spans="1:26" ht="12.75" thickTop="1" thickBot="1" x14ac:dyDescent="0.25">
      <c r="A48" s="94" t="s">
        <v>16</v>
      </c>
      <c r="B48" s="95"/>
      <c r="C48" s="95"/>
      <c r="D48" s="96"/>
      <c r="E48" s="34">
        <f>SUM(O13:O43)</f>
        <v>164000</v>
      </c>
      <c r="F48" s="76" t="s">
        <v>21</v>
      </c>
      <c r="G48" s="76"/>
      <c r="H48" s="32">
        <v>0</v>
      </c>
      <c r="I48" s="76" t="s">
        <v>23</v>
      </c>
      <c r="J48" s="76"/>
      <c r="K48" s="35">
        <v>8.3400000000000002E-2</v>
      </c>
      <c r="L48" s="31">
        <f>SUM(S13:S42)*K48</f>
        <v>2647546.344</v>
      </c>
      <c r="M48" s="76" t="s">
        <v>29</v>
      </c>
      <c r="N48" s="76"/>
      <c r="O48" s="105">
        <v>0.04</v>
      </c>
      <c r="P48" s="106"/>
      <c r="Q48" s="106"/>
      <c r="R48" s="106"/>
      <c r="S48" s="36" t="s">
        <v>83</v>
      </c>
      <c r="T48" s="29">
        <v>1.75</v>
      </c>
      <c r="U48" s="18"/>
      <c r="V48" s="19"/>
      <c r="W48" s="19"/>
      <c r="X48" s="19"/>
      <c r="Y48" s="19"/>
      <c r="Z48" s="20"/>
    </row>
    <row r="49" spans="1:26" ht="12.75" thickTop="1" thickBot="1" x14ac:dyDescent="0.25">
      <c r="A49" s="94" t="s">
        <v>17</v>
      </c>
      <c r="B49" s="95"/>
      <c r="C49" s="95"/>
      <c r="D49" s="96"/>
      <c r="E49" s="34">
        <f>SUM(P13:P42)</f>
        <v>1945860</v>
      </c>
      <c r="F49" s="76" t="s">
        <v>8</v>
      </c>
      <c r="G49" s="76"/>
      <c r="H49" s="32">
        <f>SUM(V13:V42)</f>
        <v>70750</v>
      </c>
      <c r="I49" s="76" t="s">
        <v>24</v>
      </c>
      <c r="J49" s="76"/>
      <c r="K49" s="35">
        <v>4.1700000000000001E-2</v>
      </c>
      <c r="L49" s="31">
        <f>+(S43-P43)*K49</f>
        <v>1242630.81</v>
      </c>
      <c r="M49" s="76" t="s">
        <v>30</v>
      </c>
      <c r="N49" s="76"/>
      <c r="O49" s="93">
        <v>3.3750000000000002E-2</v>
      </c>
      <c r="P49" s="93"/>
      <c r="Q49" s="93"/>
      <c r="R49" s="93"/>
      <c r="S49" s="36" t="s">
        <v>84</v>
      </c>
      <c r="T49" s="29">
        <v>2.25</v>
      </c>
      <c r="U49" s="18"/>
      <c r="V49" s="19"/>
      <c r="W49" s="19"/>
      <c r="X49" s="19"/>
      <c r="Y49" s="19"/>
      <c r="Z49" s="20"/>
    </row>
    <row r="50" spans="1:26" ht="12.75" thickTop="1" thickBot="1" x14ac:dyDescent="0.25">
      <c r="A50" s="94" t="s">
        <v>18</v>
      </c>
      <c r="B50" s="95"/>
      <c r="C50" s="95"/>
      <c r="D50" s="96"/>
      <c r="E50" s="34">
        <f>SUM(Q13:Q42)</f>
        <v>1349999.9999999998</v>
      </c>
      <c r="F50" s="76" t="s">
        <v>11</v>
      </c>
      <c r="G50" s="76"/>
      <c r="H50" s="32">
        <f>SUM(W13:W42)</f>
        <v>2725030</v>
      </c>
      <c r="I50" s="76" t="s">
        <v>25</v>
      </c>
      <c r="J50" s="76"/>
      <c r="K50" s="30">
        <v>0.02</v>
      </c>
      <c r="L50" s="31">
        <f>+(S43-P43)*K50</f>
        <v>595986</v>
      </c>
      <c r="M50" s="76" t="s">
        <v>31</v>
      </c>
      <c r="N50" s="76"/>
      <c r="O50" s="105">
        <v>0.01</v>
      </c>
      <c r="P50" s="106"/>
      <c r="Q50" s="106"/>
      <c r="R50" s="106"/>
      <c r="S50" s="36" t="s">
        <v>85</v>
      </c>
      <c r="T50" s="29">
        <v>2.75</v>
      </c>
      <c r="U50" s="18"/>
      <c r="V50" s="19"/>
      <c r="W50" s="19"/>
      <c r="X50" s="19"/>
      <c r="Y50" s="19"/>
      <c r="Z50" s="20"/>
    </row>
    <row r="51" spans="1:26" ht="12.75" thickTop="1" thickBot="1" x14ac:dyDescent="0.25">
      <c r="A51" s="94" t="s">
        <v>19</v>
      </c>
      <c r="B51" s="95"/>
      <c r="C51" s="95"/>
      <c r="D51" s="96"/>
      <c r="E51" s="34">
        <f>SUM(R13:R42)</f>
        <v>1035000</v>
      </c>
      <c r="F51" s="76" t="s">
        <v>12</v>
      </c>
      <c r="G51" s="76"/>
      <c r="H51" s="32">
        <f>SUM(X13:X42)</f>
        <v>430000</v>
      </c>
      <c r="I51" s="76" t="s">
        <v>26</v>
      </c>
      <c r="J51" s="76"/>
      <c r="K51" s="30">
        <v>0.03</v>
      </c>
      <c r="L51" s="31">
        <f>+(S43-P43)*K51</f>
        <v>893979</v>
      </c>
      <c r="M51" s="76" t="s">
        <v>32</v>
      </c>
      <c r="N51" s="76"/>
      <c r="O51" s="104">
        <v>150000000</v>
      </c>
      <c r="P51" s="104"/>
      <c r="Q51" s="104"/>
      <c r="R51" s="104"/>
      <c r="S51" s="14"/>
      <c r="T51" s="16"/>
      <c r="U51" s="18"/>
      <c r="V51" s="19"/>
      <c r="W51" s="19"/>
      <c r="X51" s="19"/>
      <c r="Y51" s="19"/>
      <c r="Z51" s="20"/>
    </row>
    <row r="52" spans="1:26" ht="12.75" thickTop="1" thickBot="1" x14ac:dyDescent="0.25">
      <c r="A52" s="113" t="s">
        <v>41</v>
      </c>
      <c r="B52" s="117"/>
      <c r="C52" s="117"/>
      <c r="D52" s="114"/>
      <c r="E52" s="97">
        <f>SUM(E47:E51)</f>
        <v>31745160</v>
      </c>
      <c r="F52" s="113" t="s">
        <v>43</v>
      </c>
      <c r="G52" s="114"/>
      <c r="H52" s="97">
        <f>SUM(H46:H51)</f>
        <v>5342984.625</v>
      </c>
      <c r="I52" s="113" t="s">
        <v>44</v>
      </c>
      <c r="J52" s="114"/>
      <c r="K52" s="128">
        <f>SUM(L45:L51)</f>
        <v>8216726.0612812508</v>
      </c>
      <c r="L52" s="129"/>
      <c r="M52" s="76" t="s">
        <v>33</v>
      </c>
      <c r="N52" s="76"/>
      <c r="O52" s="132">
        <v>2.9999999999999997E-4</v>
      </c>
      <c r="P52" s="132"/>
      <c r="Q52" s="132"/>
      <c r="R52" s="132"/>
      <c r="S52" s="18"/>
      <c r="T52" s="20"/>
      <c r="U52" s="18"/>
      <c r="V52" s="19"/>
      <c r="W52" s="19"/>
      <c r="X52" s="19"/>
      <c r="Y52" s="19"/>
      <c r="Z52" s="20"/>
    </row>
    <row r="53" spans="1:26" ht="12.75" thickTop="1" thickBot="1" x14ac:dyDescent="0.25">
      <c r="A53" s="115"/>
      <c r="B53" s="118"/>
      <c r="C53" s="118"/>
      <c r="D53" s="116"/>
      <c r="E53" s="98"/>
      <c r="F53" s="115"/>
      <c r="G53" s="116"/>
      <c r="H53" s="98"/>
      <c r="I53" s="115"/>
      <c r="J53" s="116"/>
      <c r="K53" s="125"/>
      <c r="L53" s="127"/>
      <c r="M53" s="76" t="s">
        <v>34</v>
      </c>
      <c r="N53" s="76"/>
      <c r="O53" s="30">
        <v>0.05</v>
      </c>
      <c r="P53" s="30">
        <v>0.1</v>
      </c>
      <c r="Q53" s="30"/>
      <c r="R53" s="30"/>
      <c r="S53" s="18"/>
      <c r="T53" s="20"/>
      <c r="U53" s="18"/>
      <c r="V53" s="19"/>
      <c r="W53" s="19"/>
      <c r="X53" s="19"/>
      <c r="Y53" s="19"/>
      <c r="Z53" s="20"/>
    </row>
    <row r="54" spans="1:26" ht="12.75" thickTop="1" thickBot="1" x14ac:dyDescent="0.25">
      <c r="A54" s="107" t="s">
        <v>42</v>
      </c>
      <c r="B54" s="108"/>
      <c r="C54" s="108"/>
      <c r="D54" s="108"/>
      <c r="E54" s="109"/>
      <c r="F54" s="119">
        <f>+E52-H52</f>
        <v>26402175.375</v>
      </c>
      <c r="G54" s="117"/>
      <c r="H54" s="114"/>
      <c r="I54" s="94" t="s">
        <v>39</v>
      </c>
      <c r="J54" s="96"/>
      <c r="K54" s="120" t="s">
        <v>91</v>
      </c>
      <c r="L54" s="121"/>
      <c r="M54" s="76" t="s">
        <v>35</v>
      </c>
      <c r="N54" s="76"/>
      <c r="O54" s="37">
        <v>5.0000000000000001E-3</v>
      </c>
      <c r="P54" s="38">
        <v>0.01</v>
      </c>
      <c r="Q54" s="38"/>
      <c r="R54" s="38"/>
      <c r="S54" s="18"/>
      <c r="T54" s="20"/>
      <c r="U54" s="18"/>
      <c r="V54" s="19"/>
      <c r="W54" s="19"/>
      <c r="X54" s="19"/>
      <c r="Y54" s="19"/>
      <c r="Z54" s="20"/>
    </row>
    <row r="55" spans="1:26" ht="12.75" thickTop="1" thickBot="1" x14ac:dyDescent="0.25">
      <c r="A55" s="110"/>
      <c r="B55" s="111"/>
      <c r="C55" s="111"/>
      <c r="D55" s="111"/>
      <c r="E55" s="112"/>
      <c r="F55" s="115"/>
      <c r="G55" s="118"/>
      <c r="H55" s="116"/>
      <c r="I55" s="94" t="s">
        <v>40</v>
      </c>
      <c r="J55" s="96"/>
      <c r="K55" s="120" t="s">
        <v>90</v>
      </c>
      <c r="L55" s="121"/>
      <c r="M55" s="76" t="s">
        <v>36</v>
      </c>
      <c r="N55" s="76"/>
      <c r="O55" s="130">
        <v>2.0000000000000001E-4</v>
      </c>
      <c r="P55" s="131"/>
      <c r="Q55" s="130">
        <v>2.9999999999999997E-4</v>
      </c>
      <c r="R55" s="131"/>
      <c r="S55" s="26"/>
      <c r="T55" s="28"/>
      <c r="U55" s="26"/>
      <c r="V55" s="27"/>
      <c r="W55" s="27"/>
      <c r="X55" s="27"/>
      <c r="Y55" s="27"/>
      <c r="Z55" s="28"/>
    </row>
    <row r="56" spans="1:26" ht="12" thickTop="1" x14ac:dyDescent="0.2"/>
    <row r="58" spans="1:26" x14ac:dyDescent="0.2">
      <c r="A58" s="49"/>
    </row>
    <row r="59" spans="1:26" x14ac:dyDescent="0.2">
      <c r="A59" s="49"/>
    </row>
  </sheetData>
  <mergeCells count="63">
    <mergeCell ref="K55:L55"/>
    <mergeCell ref="M44:R45"/>
    <mergeCell ref="K52:L53"/>
    <mergeCell ref="O55:P55"/>
    <mergeCell ref="Q55:R55"/>
    <mergeCell ref="O52:R52"/>
    <mergeCell ref="M52:N52"/>
    <mergeCell ref="M53:N53"/>
    <mergeCell ref="O50:R50"/>
    <mergeCell ref="O51:R51"/>
    <mergeCell ref="K54:L54"/>
    <mergeCell ref="M51:N51"/>
    <mergeCell ref="M50:N50"/>
    <mergeCell ref="M46:N46"/>
    <mergeCell ref="M47:N47"/>
    <mergeCell ref="M48:N48"/>
    <mergeCell ref="A50:D50"/>
    <mergeCell ref="I52:J53"/>
    <mergeCell ref="I50:J50"/>
    <mergeCell ref="F50:G50"/>
    <mergeCell ref="A51:D51"/>
    <mergeCell ref="I51:J51"/>
    <mergeCell ref="I54:J54"/>
    <mergeCell ref="I55:J55"/>
    <mergeCell ref="H52:H53"/>
    <mergeCell ref="A4:Y4"/>
    <mergeCell ref="A6:N6"/>
    <mergeCell ref="O6:Y6"/>
    <mergeCell ref="M55:N55"/>
    <mergeCell ref="O47:R47"/>
    <mergeCell ref="O48:R48"/>
    <mergeCell ref="M54:N54"/>
    <mergeCell ref="F51:G51"/>
    <mergeCell ref="A54:E55"/>
    <mergeCell ref="F52:G53"/>
    <mergeCell ref="E52:E53"/>
    <mergeCell ref="A52:D53"/>
    <mergeCell ref="F54:H55"/>
    <mergeCell ref="A45:E46"/>
    <mergeCell ref="F46:G46"/>
    <mergeCell ref="I44:J44"/>
    <mergeCell ref="I45:J45"/>
    <mergeCell ref="O49:R49"/>
    <mergeCell ref="M49:N49"/>
    <mergeCell ref="A47:D47"/>
    <mergeCell ref="A48:D48"/>
    <mergeCell ref="A49:D49"/>
    <mergeCell ref="S10:S12"/>
    <mergeCell ref="I49:J49"/>
    <mergeCell ref="I48:J48"/>
    <mergeCell ref="G10:R10"/>
    <mergeCell ref="F47:G47"/>
    <mergeCell ref="F48:G48"/>
    <mergeCell ref="F49:G49"/>
    <mergeCell ref="I46:J46"/>
    <mergeCell ref="I47:J47"/>
    <mergeCell ref="S46:T46"/>
    <mergeCell ref="T10:X10"/>
    <mergeCell ref="A44:H44"/>
    <mergeCell ref="F45:H45"/>
    <mergeCell ref="G11:J11"/>
    <mergeCell ref="T11:V11"/>
    <mergeCell ref="K11:N11"/>
  </mergeCells>
  <printOptions verticalCentered="1"/>
  <pageMargins left="0.25" right="3.937007874015748E-2" top="0.51181102362204722" bottom="0.39370078740157483" header="0" footer="0"/>
  <pageSetup paperSize="5" scale="55" orientation="landscape" horizontalDpi="4294967294" verticalDpi="144" r:id="rId1"/>
  <headerFooter alignWithMargins="0"/>
  <ignoredErrors>
    <ignoredError sqref="A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>
      <selection activeCell="B7" sqref="B7:D7"/>
    </sheetView>
  </sheetViews>
  <sheetFormatPr baseColWidth="10" defaultRowHeight="12.75" x14ac:dyDescent="0.2"/>
  <cols>
    <col min="1" max="1" width="31.28515625" style="1" customWidth="1"/>
    <col min="2" max="2" width="22.5703125" style="1" customWidth="1"/>
    <col min="3" max="3" width="21.42578125" style="1" customWidth="1"/>
    <col min="4" max="4" width="25.5703125" style="1" customWidth="1"/>
    <col min="5" max="16384" width="11.42578125" style="1"/>
  </cols>
  <sheetData>
    <row r="1" spans="1:4" x14ac:dyDescent="0.2">
      <c r="A1" s="133"/>
      <c r="B1" s="133"/>
      <c r="C1" s="133"/>
      <c r="D1" s="133"/>
    </row>
    <row r="2" spans="1:4" ht="18" x14ac:dyDescent="0.25">
      <c r="A2" s="137" t="s">
        <v>154</v>
      </c>
      <c r="B2" s="137"/>
      <c r="C2" s="137"/>
      <c r="D2" s="137"/>
    </row>
    <row r="3" spans="1:4" ht="18" x14ac:dyDescent="0.25">
      <c r="A3" s="138" t="s">
        <v>155</v>
      </c>
      <c r="B3" s="138"/>
      <c r="C3" s="138"/>
      <c r="D3" s="138"/>
    </row>
    <row r="4" spans="1:4" ht="15" x14ac:dyDescent="0.2">
      <c r="A4" s="139" t="s">
        <v>167</v>
      </c>
      <c r="B4" s="139"/>
      <c r="C4" s="139"/>
      <c r="D4" s="139"/>
    </row>
    <row r="5" spans="1:4" x14ac:dyDescent="0.2">
      <c r="A5" s="133"/>
      <c r="B5" s="133"/>
      <c r="C5" s="133"/>
      <c r="D5" s="133"/>
    </row>
    <row r="6" spans="1:4" ht="15" x14ac:dyDescent="0.2">
      <c r="A6" s="56" t="s">
        <v>156</v>
      </c>
      <c r="B6" s="134" t="s">
        <v>124</v>
      </c>
      <c r="C6" s="134"/>
      <c r="D6" s="134"/>
    </row>
    <row r="7" spans="1:4" ht="15" x14ac:dyDescent="0.2">
      <c r="A7" s="56" t="s">
        <v>121</v>
      </c>
      <c r="B7" s="136" t="str">
        <f>VLOOKUP(B6,NOMINA,2,FALSE)</f>
        <v>Ospina Borja Pedro Nel</v>
      </c>
      <c r="C7" s="136" t="e">
        <f t="shared" ref="C7:D7" si="0">VLOOKUP(B7,BDEMPLEADOS,2,FALSE)</f>
        <v>#N/A</v>
      </c>
      <c r="D7" s="136" t="e">
        <f t="shared" si="0"/>
        <v>#N/A</v>
      </c>
    </row>
    <row r="8" spans="1:4" ht="15" x14ac:dyDescent="0.2">
      <c r="A8" s="135"/>
      <c r="B8" s="135"/>
      <c r="C8" s="135"/>
      <c r="D8" s="135"/>
    </row>
    <row r="9" spans="1:4" ht="15" x14ac:dyDescent="0.2">
      <c r="A9" s="57" t="s">
        <v>108</v>
      </c>
      <c r="B9" s="58">
        <f>VLOOKUP(B6,Nómina!A13:Z42,6,0)</f>
        <v>700000</v>
      </c>
      <c r="C9" s="59" t="s">
        <v>114</v>
      </c>
      <c r="D9" s="60">
        <f>VLOOKUP(B6,Nómina!A13:Z42,20,0)</f>
        <v>31000</v>
      </c>
    </row>
    <row r="10" spans="1:4" ht="15" x14ac:dyDescent="0.2">
      <c r="A10" s="57" t="s">
        <v>109</v>
      </c>
      <c r="B10" s="61">
        <f>VLOOKUP(B6,Nómina!A13:Z42,15,0)</f>
        <v>0</v>
      </c>
      <c r="C10" s="57" t="s">
        <v>115</v>
      </c>
      <c r="D10" s="58">
        <f>VLOOKUP(B6,Nómina!A13:Z42,21,0)</f>
        <v>23625</v>
      </c>
    </row>
    <row r="11" spans="1:4" ht="15" x14ac:dyDescent="0.2">
      <c r="A11" s="57" t="s">
        <v>110</v>
      </c>
      <c r="B11" s="62">
        <f>VLOOKUP(B6,Nómina!A13:Z42,16,0)</f>
        <v>67800</v>
      </c>
      <c r="C11" s="57" t="s">
        <v>116</v>
      </c>
      <c r="D11" s="63">
        <f>VLOOKUP(B6,Nómina!A13:Z42,22,0)</f>
        <v>0</v>
      </c>
    </row>
    <row r="12" spans="1:4" ht="15" x14ac:dyDescent="0.2">
      <c r="A12" s="57" t="s">
        <v>111</v>
      </c>
      <c r="B12" s="62">
        <f>VLOOKUP(B6,Nómina!A13:Z42,17,0)</f>
        <v>44999.999999999993</v>
      </c>
      <c r="C12" s="57" t="s">
        <v>117</v>
      </c>
      <c r="D12" s="58">
        <f>VLOOKUP(B6,Nómina!A13:Z42,23,0)</f>
        <v>70000</v>
      </c>
    </row>
    <row r="13" spans="1:4" ht="15" x14ac:dyDescent="0.2">
      <c r="A13" s="57" t="s">
        <v>112</v>
      </c>
      <c r="B13" s="61">
        <f>VLOOKUP(B6,Nómina!A13:Z42,18,0)</f>
        <v>30000</v>
      </c>
      <c r="C13" s="57" t="s">
        <v>118</v>
      </c>
      <c r="D13" s="63">
        <f>VLOOKUP(B6,Nómina!A13:Z42,24,0)</f>
        <v>14000</v>
      </c>
    </row>
    <row r="14" spans="1:4" x14ac:dyDescent="0.2">
      <c r="A14" s="64"/>
      <c r="B14" s="65"/>
      <c r="C14" s="64"/>
      <c r="D14" s="64"/>
    </row>
    <row r="15" spans="1:4" ht="15" x14ac:dyDescent="0.2">
      <c r="A15" s="57" t="s">
        <v>113</v>
      </c>
      <c r="B15" s="62">
        <f>VLOOKUP(B6,Nómina!A13:Z42,19,0)</f>
        <v>842800</v>
      </c>
      <c r="C15" s="57" t="s">
        <v>119</v>
      </c>
      <c r="D15" s="58">
        <f>VLOOKUP(B6,Nómina!A13:Z42,25,0)</f>
        <v>138625</v>
      </c>
    </row>
    <row r="16" spans="1:4" x14ac:dyDescent="0.2">
      <c r="A16" s="64"/>
      <c r="B16" s="66"/>
      <c r="C16" s="64"/>
      <c r="D16" s="64"/>
    </row>
    <row r="17" spans="1:4" x14ac:dyDescent="0.2">
      <c r="A17" s="64"/>
      <c r="B17" s="66"/>
      <c r="C17" s="64"/>
      <c r="D17" s="64"/>
    </row>
    <row r="18" spans="1:4" ht="18" x14ac:dyDescent="0.25">
      <c r="A18" s="67"/>
      <c r="B18" s="68"/>
      <c r="C18" s="69" t="s">
        <v>120</v>
      </c>
      <c r="D18" s="70">
        <f>VLOOKUP(B6,Nómina!A13:Z42,26,0)</f>
        <v>704175</v>
      </c>
    </row>
    <row r="19" spans="1:4" x14ac:dyDescent="0.2">
      <c r="B19" s="13"/>
    </row>
    <row r="20" spans="1:4" x14ac:dyDescent="0.2">
      <c r="B20" s="13"/>
    </row>
    <row r="21" spans="1:4" x14ac:dyDescent="0.2">
      <c r="B21" s="13"/>
    </row>
  </sheetData>
  <mergeCells count="8">
    <mergeCell ref="A1:D1"/>
    <mergeCell ref="A5:D5"/>
    <mergeCell ref="B6:D6"/>
    <mergeCell ref="A8:D8"/>
    <mergeCell ref="B7:D7"/>
    <mergeCell ref="A2:D2"/>
    <mergeCell ref="A3:D3"/>
    <mergeCell ref="A4:D4"/>
  </mergeCells>
  <pageMargins left="0.75" right="0.75" top="1" bottom="1" header="0" footer="0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BD EMPLEADOS</vt:lpstr>
      <vt:lpstr>Nómina</vt:lpstr>
      <vt:lpstr>COLILLA DE PAGO</vt:lpstr>
      <vt:lpstr>BDEMPLEADOS</vt:lpstr>
      <vt:lpstr>NOMINA</vt:lpstr>
      <vt:lpstr>Nómina</vt:lpstr>
    </vt:vector>
  </TitlesOfParts>
  <Company>Corp. Universitaria Remington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Vasquez Posada</dc:creator>
  <cp:lastModifiedBy>pc 34</cp:lastModifiedBy>
  <cp:lastPrinted>2005-09-23T16:25:39Z</cp:lastPrinted>
  <dcterms:created xsi:type="dcterms:W3CDTF">2002-09-19T11:10:59Z</dcterms:created>
  <dcterms:modified xsi:type="dcterms:W3CDTF">2013-12-06T00:07:19Z</dcterms:modified>
</cp:coreProperties>
</file>